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Титульний лист" sheetId="1" r:id="rId1"/>
    <sheet name="І Фін результат 2021" sheetId="2" r:id="rId2"/>
    <sheet name="ІІ Розр з бюджетом 2021" sheetId="3" r:id="rId3"/>
    <sheet name="ІІІ Рух грошових коштів 2021" sheetId="4" r:id="rId4"/>
    <sheet name="ІV Кап інвестиції 2021" sheetId="5" r:id="rId5"/>
    <sheet name="V ОП 2021" sheetId="6" r:id="rId6"/>
  </sheets>
  <definedNames/>
  <calcPr fullCalcOnLoad="1"/>
</workbook>
</file>

<file path=xl/sharedStrings.xml><?xml version="1.0" encoding="utf-8"?>
<sst xmlns="http://schemas.openxmlformats.org/spreadsheetml/2006/main" count="342" uniqueCount="233">
  <si>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</si>
  <si>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</si>
  <si>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</si>
  <si>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</si>
  <si>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</si>
  <si>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</si>
  <si>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</si>
  <si>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</si>
  <si>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</si>
  <si>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</si>
  <si>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</si>
  <si>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</si>
  <si>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</si>
  <si>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</si>
  <si>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</si>
  <si>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</si>
  <si>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</si>
  <si>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</si>
  <si>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</si>
  <si>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</si>
  <si>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</si>
  <si>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</si>
  <si>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</si>
  <si>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</si>
  <si>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</si>
  <si>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</si>
  <si>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</si>
  <si>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</si>
  <si>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</si>
  <si>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</si>
  <si>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</si>
  <si>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</si>
  <si>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</si>
  <si>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</si>
  <si>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</si>
  <si>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</si>
  <si>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</si>
  <si>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</si>
  <si>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</si>
  <si>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</si>
  <si>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</si>
  <si>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</si>
  <si>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</si>
  <si>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</si>
  <si>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</si>
  <si>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</si>
  <si>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</si>
  <si>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</si>
  <si>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</si>
  <si>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</si>
  <si>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</si>
  <si>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</si>
  <si>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</si>
  <si>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</si>
  <si>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</si>
  <si>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</si>
  <si>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</si>
  <si>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</si>
  <si>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</si>
  <si>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</si>
  <si>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</si>
  <si>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</si>
  <si>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</si>
  <si>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</si>
  <si>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</si>
  <si>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</si>
  <si>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</si>
  <si>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</si>
  <si>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</si>
  <si>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</si>
  <si>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</si>
  <si>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</si>
  <si>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</si>
  <si>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</si>
  <si>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</si>
  <si>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</si>
  <si>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</si>
  <si>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</si>
  <si>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</si>
  <si>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</si>
  <si>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</si>
  <si>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</si>
  <si>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</si>
  <si>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</si>
  <si>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</si>
  <si>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</si>
  <si>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</si>
  <si>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</si>
  <si>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</si>
  <si>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</si>
  <si>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</si>
  <si>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</si>
  <si>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</si>
  <si>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</si>
  <si>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</si>
  <si>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</si>
  <si>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</si>
  <si>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</si>
  <si>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</si>
  <si>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</si>
  <si>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</si>
  <si>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</si>
  <si>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</si>
  <si>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</si>
  <si>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</si>
  <si>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</si>
  <si>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</si>
  <si>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</si>
  <si>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</si>
  <si>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</si>
  <si>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</si>
  <si>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</si>
  <si>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</si>
  <si>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</si>
  <si>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</si>
  <si>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</si>
  <si>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</si>
  <si>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</si>
  <si>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</si>
  <si>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</si>
  <si>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</si>
  <si>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</si>
  <si>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</si>
  <si>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</si>
  <si>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</si>
  <si>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</si>
  <si>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</si>
  <si>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</si>
  <si>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</si>
  <si>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</si>
  <si>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</si>
  <si>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</si>
  <si>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</si>
  <si>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</si>
  <si>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</si>
  <si>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</si>
  <si>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</si>
  <si>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</si>
  <si>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</si>
  <si>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</si>
  <si>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</si>
  <si>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</si>
  <si>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</si>
  <si>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</si>
  <si>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</si>
  <si>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</si>
  <si>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</si>
  <si>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</si>
  <si>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</si>
  <si>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</si>
  <si>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</si>
  <si>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</si>
  <si>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</si>
  <si>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</si>
  <si>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</si>
  <si>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</si>
  <si>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</si>
  <si>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</si>
  <si>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</si>
  <si>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</si>
  <si>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</si>
  <si>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</si>
  <si>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</si>
  <si>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</si>
  <si>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</si>
  <si>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</si>
  <si>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</si>
  <si>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</si>
  <si>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</si>
  <si>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</si>
  <si>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</si>
  <si>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</si>
  <si>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</si>
  <si>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</si>
  <si>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</si>
  <si>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</si>
  <si>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</si>
  <si>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</si>
  <si>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</si>
  <si>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</si>
  <si>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Видача електронного ключа</t>
  </si>
  <si>
    <t>Утилізація компютерної техніки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</si>
  <si>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</si>
  <si>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</si>
  <si>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</si>
  <si>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</si>
  <si>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</si>
  <si>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</si>
  <si>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</si>
  <si>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</si>
  <si>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</si>
  <si>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</si>
  <si>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</si>
  <si>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</si>
  <si>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</si>
  <si>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</si>
  <si>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</si>
  <si>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</si>
  <si>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</si>
  <si>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>Директор КП НМР "Благоустрій"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</si>
  <si>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</si>
  <si>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</si>
  <si>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</si>
  <si>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</si>
  <si>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</si>
  <si>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</si>
  <si>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</si>
  <si>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</si>
  <si>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</si>
  <si>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</si>
  <si>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Розрахунки з оплати праці  (заробітна плата, ЄСВ)</t>
  </si>
  <si>
    <t>Придбання основних засобів (дриль з ударом, кутовий шліф,  велосипед, віброрейка)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</si>
  <si>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</si>
  <si>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</si>
  <si>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</si>
  <si>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</si>
  <si>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</si>
  <si>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</si>
  <si>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</si>
  <si>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 xml:space="preserve">Віктор КОНДРАЦЬКИЙ </t>
  </si>
  <si>
    <t>Атестація робочих місць, медогляд</t>
  </si>
  <si>
    <r>
      <t>Інші надходження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</si>
  <si>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8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</si>
  <si>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</si>
  <si>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8"/>
        <rFont val="Times New Roman"/>
        <family val="1"/>
      </rPr>
      <t xml:space="preserve"> </t>
    </r>
  </si>
  <si>
    <r>
      <t>V</t>
    </r>
    <r>
      <rPr>
        <b/>
        <sz val="8"/>
        <rFont val="Arial Cyr"/>
        <family val="0"/>
      </rPr>
      <t xml:space="preserve">. </t>
    </r>
    <r>
      <rPr>
        <b/>
        <sz val="8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</si>
  <si>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8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8"/>
        <rFont val="Times New Roman"/>
        <family val="1"/>
      </rPr>
      <t>, у тому числі:</t>
    </r>
  </si>
  <si>
    <t xml:space="preserve"> ФІНАНСОВИЙ ПЛАН ПІДПРИЄМСТВА НА 2021 рік</t>
  </si>
  <si>
    <t>придбання (виготовлення) основних засобів: дитяче ігрове обладнання, трактор МТЗ-82.1 з навісним обладнанням (відвал+щітка), машина для вирізання люків, мотокоса.</t>
  </si>
  <si>
    <t>Дохід від сплати пайової участі в утриманні обєкта благоустрою, від плати за тимч.корист.елементами благоустрою,</t>
  </si>
  <si>
    <r>
      <t>Інші надходження (кошти від реалізації квитків, відшкод.пільгового перевезення, плата за корист.обєктами благоустрою))</t>
    </r>
    <r>
      <rPr>
        <i/>
        <sz val="8"/>
        <rFont val="Times New Roman"/>
        <family val="1"/>
      </rPr>
      <t xml:space="preserve"> </t>
    </r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</si>
  <si>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</si>
  <si>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витрати на сировину та основні матеріали (в т.ч.пот.ремонт)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</si>
</sst>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_(* #,##0.0_);_(* \(#,##0.0\);_(* &quot;-&quot;_);_(@_)"/>
    <numFmt numFmtId="201" formatCode="_-* #,##0.0\ _₽_-;\-* #,##0.0\ _₽_-;_-* &quot;-&quot;?\ _₽_-;_-@_-"/>
    <numFmt numFmtId="202" formatCode="_(* #,##0.00_);_(* \(#,##0.00\);_(* &quot;-&quot;_);_(@_)"/>
    <numFmt numFmtId="203" formatCode="[$-FC19]d\ mmmm\ yyyy\ &quot;г.&quot;"/>
    <numFmt numFmtId="204" formatCode="_-* #,##0\ _₽_-;\-* #,##0\ _₽_-;_-* &quot;-&quot;?\ _₽_-;_-@_-"/>
    <numFmt numFmtId="205" formatCode="_-* #,##0.0\ _р_._-;\-* #,##0.0\ _р_._-;_-* &quot;-&quot;?\ _р_._-;_-@_-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Arial Cyr"/>
      <family val="0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quotePrefix="1">
      <alignment horizontal="center" vertical="center"/>
    </xf>
    <xf numFmtId="196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1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193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96" fontId="2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193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193" fontId="10" fillId="0" borderId="20" xfId="0" applyNumberFormat="1" applyFont="1" applyFill="1" applyBorder="1" applyAlignment="1">
      <alignment horizontal="center" vertical="center" wrapText="1"/>
    </xf>
    <xf numFmtId="193" fontId="11" fillId="0" borderId="20" xfId="0" applyNumberFormat="1" applyFont="1" applyFill="1" applyBorder="1" applyAlignment="1">
      <alignment horizontal="center" vertical="center" wrapText="1"/>
    </xf>
    <xf numFmtId="200" fontId="10" fillId="0" borderId="20" xfId="0" applyNumberFormat="1" applyFont="1" applyFill="1" applyBorder="1" applyAlignment="1">
      <alignment horizontal="center" vertical="center" wrapText="1"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quotePrefix="1">
      <alignment horizontal="center" vertical="center" wrapText="1"/>
    </xf>
    <xf numFmtId="200" fontId="11" fillId="0" borderId="2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7" fillId="0" borderId="0" xfId="0" applyFont="1" applyFill="1" applyAlignment="1">
      <alignment/>
    </xf>
    <xf numFmtId="198" fontId="0" fillId="0" borderId="0" xfId="0" applyNumberFormat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93" fontId="10" fillId="24" borderId="0" xfId="0" applyNumberFormat="1" applyFont="1" applyFill="1" applyAlignment="1">
      <alignment/>
    </xf>
    <xf numFmtId="196" fontId="25" fillId="24" borderId="0" xfId="0" applyNumberFormat="1" applyFont="1" applyFill="1" applyBorder="1" applyAlignment="1">
      <alignment vertical="center"/>
    </xf>
    <xf numFmtId="193" fontId="3" fillId="24" borderId="0" xfId="0" applyNumberFormat="1" applyFont="1" applyFill="1" applyAlignment="1">
      <alignment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 quotePrefix="1">
      <alignment horizontal="center" vertical="center"/>
    </xf>
    <xf numFmtId="193" fontId="26" fillId="24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 quotePrefix="1">
      <alignment horizontal="center" vertical="center"/>
    </xf>
    <xf numFmtId="193" fontId="29" fillId="24" borderId="20" xfId="0" applyNumberFormat="1" applyFont="1" applyFill="1" applyBorder="1" applyAlignment="1">
      <alignment horizontal="center" vertical="center" wrapText="1"/>
    </xf>
    <xf numFmtId="193" fontId="26" fillId="24" borderId="20" xfId="0" applyNumberFormat="1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 quotePrefix="1">
      <alignment horizontal="center" vertical="center"/>
    </xf>
    <xf numFmtId="200" fontId="26" fillId="24" borderId="20" xfId="0" applyNumberFormat="1" applyFont="1" applyFill="1" applyBorder="1" applyAlignment="1">
      <alignment horizontal="center" vertical="center" wrapText="1"/>
    </xf>
    <xf numFmtId="0" fontId="29" fillId="24" borderId="20" xfId="0" applyFont="1" applyFill="1" applyBorder="1" applyAlignment="1" quotePrefix="1">
      <alignment horizontal="center" vertical="center"/>
    </xf>
    <xf numFmtId="193" fontId="26" fillId="24" borderId="20" xfId="0" applyNumberFormat="1" applyFont="1" applyFill="1" applyBorder="1" applyAlignment="1">
      <alignment horizontal="center"/>
    </xf>
    <xf numFmtId="193" fontId="26" fillId="24" borderId="2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0" fontId="11" fillId="24" borderId="0" xfId="0" applyFont="1" applyFill="1" applyBorder="1" applyAlignment="1">
      <alignment horizontal="center" vertical="center"/>
    </xf>
    <xf numFmtId="201" fontId="10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193" fontId="27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201" fontId="28" fillId="24" borderId="0" xfId="0" applyNumberFormat="1" applyFont="1" applyFill="1" applyAlignment="1">
      <alignment/>
    </xf>
    <xf numFmtId="193" fontId="28" fillId="24" borderId="0" xfId="0" applyNumberFormat="1" applyFont="1" applyFill="1" applyAlignment="1">
      <alignment/>
    </xf>
    <xf numFmtId="0" fontId="26" fillId="24" borderId="20" xfId="53" applyFont="1" applyFill="1" applyBorder="1" applyAlignment="1">
      <alignment horizontal="left" vertical="center" wrapText="1"/>
      <protection/>
    </xf>
    <xf numFmtId="0" fontId="26" fillId="24" borderId="20" xfId="0" applyFont="1" applyFill="1" applyBorder="1" applyAlignment="1">
      <alignment horizontal="center" vertical="center"/>
    </xf>
    <xf numFmtId="0" fontId="29" fillId="24" borderId="20" xfId="53" applyFont="1" applyFill="1" applyBorder="1" applyAlignment="1">
      <alignment horizontal="left" vertical="center" wrapText="1"/>
      <protection/>
    </xf>
    <xf numFmtId="0" fontId="29" fillId="24" borderId="20" xfId="0" applyFont="1" applyFill="1" applyBorder="1" applyAlignment="1">
      <alignment horizontal="center" vertical="center"/>
    </xf>
    <xf numFmtId="193" fontId="29" fillId="24" borderId="20" xfId="0" applyNumberFormat="1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0" xfId="53" applyFont="1" applyFill="1" applyBorder="1" applyAlignment="1">
      <alignment horizontal="center" vertical="center"/>
      <protection/>
    </xf>
    <xf numFmtId="0" fontId="29" fillId="24" borderId="20" xfId="53" applyFont="1" applyFill="1" applyBorder="1" applyAlignment="1">
      <alignment horizontal="center" vertical="center"/>
      <protection/>
    </xf>
    <xf numFmtId="0" fontId="26" fillId="0" borderId="20" xfId="53" applyFont="1" applyFill="1" applyBorder="1" applyAlignment="1">
      <alignment horizontal="left" vertical="center" wrapText="1"/>
      <protection/>
    </xf>
    <xf numFmtId="0" fontId="26" fillId="0" borderId="20" xfId="53" applyFont="1" applyFill="1" applyBorder="1" applyAlignment="1">
      <alignment horizontal="center" vertical="center"/>
      <protection/>
    </xf>
    <xf numFmtId="0" fontId="26" fillId="0" borderId="20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26" fillId="0" borderId="20" xfId="0" applyFont="1" applyFill="1" applyBorder="1" applyAlignment="1">
      <alignment horizontal="center" vertical="center" wrapText="1" shrinkToFit="1"/>
    </xf>
    <xf numFmtId="0" fontId="29" fillId="24" borderId="21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 quotePrefix="1">
      <alignment horizontal="center" vertical="center"/>
    </xf>
    <xf numFmtId="200" fontId="29" fillId="24" borderId="20" xfId="0" applyNumberFormat="1" applyFont="1" applyFill="1" applyBorder="1" applyAlignment="1">
      <alignment horizontal="center" vertical="center" wrapText="1"/>
    </xf>
    <xf numFmtId="193" fontId="9" fillId="0" borderId="0" xfId="0" applyNumberFormat="1" applyFont="1" applyAlignment="1">
      <alignment/>
    </xf>
    <xf numFmtId="0" fontId="29" fillId="0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 quotePrefix="1">
      <alignment horizontal="center" vertical="center"/>
    </xf>
    <xf numFmtId="0" fontId="29" fillId="0" borderId="22" xfId="53" applyFont="1" applyFill="1" applyBorder="1" applyAlignment="1">
      <alignment horizontal="left" vertical="center" wrapText="1"/>
      <protection/>
    </xf>
    <xf numFmtId="0" fontId="29" fillId="0" borderId="22" xfId="0" applyFont="1" applyFill="1" applyBorder="1" applyAlignment="1" quotePrefix="1">
      <alignment horizontal="center" vertical="center"/>
    </xf>
    <xf numFmtId="201" fontId="0" fillId="0" borderId="0" xfId="0" applyNumberFormat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198" fontId="29" fillId="24" borderId="20" xfId="0" applyNumberFormat="1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left" vertical="center" wrapText="1"/>
    </xf>
    <xf numFmtId="198" fontId="26" fillId="24" borderId="20" xfId="0" applyNumberFormat="1" applyFont="1" applyFill="1" applyBorder="1" applyAlignment="1">
      <alignment vertical="center" wrapText="1"/>
    </xf>
    <xf numFmtId="0" fontId="26" fillId="24" borderId="23" xfId="0" applyFont="1" applyFill="1" applyBorder="1" applyAlignment="1">
      <alignment horizontal="left" vertical="center" wrapText="1"/>
    </xf>
    <xf numFmtId="0" fontId="29" fillId="24" borderId="23" xfId="0" applyFont="1" applyFill="1" applyBorder="1" applyAlignment="1">
      <alignment horizontal="left" vertical="center" wrapText="1"/>
    </xf>
    <xf numFmtId="199" fontId="26" fillId="24" borderId="20" xfId="0" applyNumberFormat="1" applyFont="1" applyFill="1" applyBorder="1" applyAlignment="1">
      <alignment vertical="center" wrapText="1"/>
    </xf>
    <xf numFmtId="199" fontId="29" fillId="24" borderId="20" xfId="0" applyNumberFormat="1" applyFont="1" applyFill="1" applyBorder="1" applyAlignment="1">
      <alignment vertical="center" wrapText="1"/>
    </xf>
    <xf numFmtId="198" fontId="26" fillId="24" borderId="23" xfId="0" applyNumberFormat="1" applyFont="1" applyFill="1" applyBorder="1" applyAlignment="1">
      <alignment vertical="center" wrapText="1"/>
    </xf>
    <xf numFmtId="199" fontId="26" fillId="24" borderId="23" xfId="0" applyNumberFormat="1" applyFont="1" applyFill="1" applyBorder="1" applyAlignment="1">
      <alignment vertical="center" wrapText="1"/>
    </xf>
    <xf numFmtId="199" fontId="9" fillId="24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196" fontId="26" fillId="24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24" borderId="0" xfId="0" applyFont="1" applyFill="1" applyAlignment="1">
      <alignment/>
    </xf>
    <xf numFmtId="0" fontId="32" fillId="24" borderId="24" xfId="0" applyFont="1" applyFill="1" applyBorder="1" applyAlignment="1">
      <alignment/>
    </xf>
    <xf numFmtId="204" fontId="11" fillId="24" borderId="20" xfId="0" applyNumberFormat="1" applyFont="1" applyFill="1" applyBorder="1" applyAlignment="1">
      <alignment vertical="center" wrapText="1"/>
    </xf>
    <xf numFmtId="200" fontId="11" fillId="24" borderId="20" xfId="0" applyNumberFormat="1" applyFont="1" applyFill="1" applyBorder="1" applyAlignment="1">
      <alignment horizontal="center" vertical="center" wrapText="1"/>
    </xf>
    <xf numFmtId="204" fontId="10" fillId="24" borderId="20" xfId="0" applyNumberFormat="1" applyFont="1" applyFill="1" applyBorder="1" applyAlignment="1">
      <alignment vertical="center" wrapText="1"/>
    </xf>
    <xf numFmtId="193" fontId="10" fillId="24" borderId="20" xfId="0" applyNumberFormat="1" applyFont="1" applyFill="1" applyBorder="1" applyAlignment="1">
      <alignment horizontal="center" vertical="center" wrapText="1"/>
    </xf>
    <xf numFmtId="200" fontId="10" fillId="24" borderId="20" xfId="0" applyNumberFormat="1" applyFont="1" applyFill="1" applyBorder="1" applyAlignment="1">
      <alignment vertical="center" wrapText="1"/>
    </xf>
    <xf numFmtId="200" fontId="10" fillId="24" borderId="2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/>
    </xf>
    <xf numFmtId="0" fontId="26" fillId="24" borderId="20" xfId="0" applyFont="1" applyFill="1" applyBorder="1" applyAlignment="1">
      <alignment horizontal="center" vertical="center" wrapText="1" shrinkToFit="1"/>
    </xf>
    <xf numFmtId="0" fontId="10" fillId="24" borderId="0" xfId="53" applyFont="1" applyFill="1" applyBorder="1" applyAlignment="1">
      <alignment horizontal="center" vertical="center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193" fontId="10" fillId="24" borderId="0" xfId="0" applyNumberFormat="1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193" fontId="10" fillId="24" borderId="20" xfId="0" applyNumberFormat="1" applyFont="1" applyFill="1" applyBorder="1" applyAlignment="1">
      <alignment vertical="center" wrapText="1"/>
    </xf>
    <xf numFmtId="193" fontId="11" fillId="24" borderId="20" xfId="0" applyNumberFormat="1" applyFont="1" applyFill="1" applyBorder="1" applyAlignment="1">
      <alignment horizontal="center" vertical="center" wrapText="1"/>
    </xf>
    <xf numFmtId="198" fontId="0" fillId="0" borderId="0" xfId="0" applyNumberFormat="1" applyFont="1" applyAlignment="1">
      <alignment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93" fontId="2" fillId="0" borderId="0" xfId="0" applyNumberFormat="1" applyFont="1" applyAlignment="1">
      <alignment/>
    </xf>
    <xf numFmtId="201" fontId="26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193" fontId="2" fillId="24" borderId="0" xfId="0" applyNumberFormat="1" applyFont="1" applyFill="1" applyAlignment="1">
      <alignment/>
    </xf>
    <xf numFmtId="0" fontId="26" fillId="24" borderId="20" xfId="0" applyFont="1" applyFill="1" applyBorder="1" applyAlignment="1" quotePrefix="1">
      <alignment horizontal="center" vertical="center"/>
    </xf>
    <xf numFmtId="0" fontId="29" fillId="24" borderId="20" xfId="0" applyFont="1" applyFill="1" applyBorder="1" applyAlignment="1" quotePrefix="1">
      <alignment horizontal="center" vertical="center"/>
    </xf>
    <xf numFmtId="0" fontId="26" fillId="24" borderId="25" xfId="0" applyFont="1" applyFill="1" applyBorder="1" applyAlignment="1">
      <alignment horizontal="left" vertical="center" wrapText="1"/>
    </xf>
    <xf numFmtId="0" fontId="26" fillId="24" borderId="26" xfId="0" applyFont="1" applyFill="1" applyBorder="1" applyAlignment="1">
      <alignment horizontal="left"/>
    </xf>
    <xf numFmtId="0" fontId="26" fillId="24" borderId="20" xfId="0" applyFont="1" applyFill="1" applyBorder="1" applyAlignment="1">
      <alignment wrapText="1"/>
    </xf>
    <xf numFmtId="0" fontId="26" fillId="24" borderId="2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25" xfId="0" applyFont="1" applyFill="1" applyBorder="1" applyAlignment="1">
      <alignment horizontal="left"/>
    </xf>
    <xf numFmtId="0" fontId="26" fillId="24" borderId="20" xfId="0" applyFont="1" applyFill="1" applyBorder="1" applyAlignment="1">
      <alignment horizontal="left" vertical="center" wrapText="1" shrinkToFit="1"/>
    </xf>
    <xf numFmtId="0" fontId="26" fillId="24" borderId="21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center"/>
    </xf>
    <xf numFmtId="0" fontId="26" fillId="24" borderId="20" xfId="0" applyFont="1" applyFill="1" applyBorder="1" applyAlignment="1" quotePrefix="1">
      <alignment horizontal="center"/>
    </xf>
    <xf numFmtId="0" fontId="29" fillId="24" borderId="20" xfId="0" applyFont="1" applyFill="1" applyBorder="1" applyAlignment="1" quotePrefix="1">
      <alignment horizontal="center"/>
    </xf>
    <xf numFmtId="193" fontId="26" fillId="24" borderId="20" xfId="0" applyNumberFormat="1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 shrinkToFit="1"/>
    </xf>
    <xf numFmtId="0" fontId="26" fillId="0" borderId="22" xfId="53" applyFont="1" applyFill="1" applyBorder="1" applyAlignment="1">
      <alignment horizontal="center" vertical="center" wrapText="1"/>
      <protection/>
    </xf>
    <xf numFmtId="0" fontId="26" fillId="0" borderId="21" xfId="53" applyFont="1" applyFill="1" applyBorder="1" applyAlignment="1">
      <alignment horizontal="center" vertical="center" wrapText="1"/>
      <protection/>
    </xf>
    <xf numFmtId="0" fontId="27" fillId="0" borderId="2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/>
    </xf>
    <xf numFmtId="196" fontId="10" fillId="0" borderId="0" xfId="0" applyNumberFormat="1" applyFont="1" applyFill="1" applyBorder="1" applyAlignment="1">
      <alignment horizontal="center" vertical="center" wrapText="1"/>
    </xf>
    <xf numFmtId="196" fontId="10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center"/>
    </xf>
    <xf numFmtId="0" fontId="27" fillId="24" borderId="20" xfId="0" applyFont="1" applyFill="1" applyBorder="1" applyAlignment="1">
      <alignment horizontal="center" vertical="center" wrapText="1" shrinkToFit="1"/>
    </xf>
    <xf numFmtId="0" fontId="29" fillId="0" borderId="23" xfId="53" applyFont="1" applyFill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29" fillId="0" borderId="28" xfId="53" applyFont="1" applyFill="1" applyBorder="1" applyAlignment="1">
      <alignment horizontal="center" vertical="center" wrapText="1"/>
      <protection/>
    </xf>
    <xf numFmtId="196" fontId="10" fillId="2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96" fontId="10" fillId="24" borderId="0" xfId="0" applyNumberFormat="1" applyFont="1" applyFill="1" applyBorder="1" applyAlignment="1">
      <alignment horizontal="left" vertical="center" wrapText="1"/>
    </xf>
    <xf numFmtId="196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Alignment="1">
      <alignment/>
    </xf>
    <xf numFmtId="0" fontId="29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right"/>
    </xf>
    <xf numFmtId="0" fontId="11" fillId="0" borderId="0" xfId="53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horizontal="center" vertical="center"/>
    </xf>
    <xf numFmtId="0" fontId="26" fillId="0" borderId="20" xfId="53" applyFont="1" applyFill="1" applyBorder="1" applyAlignment="1">
      <alignment horizontal="center" vertical="center" wrapText="1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29" fillId="0" borderId="20" xfId="53" applyFont="1" applyFill="1" applyBorder="1" applyAlignment="1">
      <alignment horizontal="left" vertical="center" wrapText="1"/>
      <protection/>
    </xf>
    <xf numFmtId="0" fontId="29" fillId="24" borderId="20" xfId="53" applyFont="1" applyFill="1" applyBorder="1" applyAlignment="1">
      <alignment horizontal="left" vertical="center" wrapText="1"/>
      <protection/>
    </xf>
    <xf numFmtId="196" fontId="10" fillId="0" borderId="0" xfId="0" applyNumberFormat="1" applyFont="1" applyFill="1" applyBorder="1" applyAlignment="1">
      <alignment horizontal="left" vertical="center" wrapText="1"/>
    </xf>
    <xf numFmtId="196" fontId="10" fillId="0" borderId="0" xfId="0" applyNumberFormat="1" applyFont="1" applyFill="1" applyBorder="1" applyAlignment="1" quotePrefix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18.75" customHeight="1">
      <c r="B1" s="9"/>
      <c r="E1" s="219" t="s">
        <v>167</v>
      </c>
      <c r="F1" s="219"/>
      <c r="G1" s="219"/>
      <c r="H1" s="219"/>
    </row>
    <row r="2" spans="4:10" ht="71.25" customHeight="1">
      <c r="D2" s="11"/>
      <c r="E2" s="220" t="s">
        <v>155</v>
      </c>
      <c r="F2" s="220"/>
      <c r="G2" s="220"/>
      <c r="H2" s="220"/>
      <c r="I2" s="12"/>
      <c r="J2" s="12"/>
    </row>
    <row r="3" ht="12.75">
      <c r="B3" s="13"/>
    </row>
    <row r="4" ht="12.75">
      <c r="B4" s="13"/>
    </row>
    <row r="5" spans="2:5" ht="18.75">
      <c r="B5" s="13"/>
      <c r="E5" s="10" t="s">
        <v>139</v>
      </c>
    </row>
    <row r="6" spans="2:5" ht="12.75">
      <c r="B6" s="13"/>
      <c r="E6" t="s">
        <v>154</v>
      </c>
    </row>
    <row r="7" spans="2:5" ht="12.75">
      <c r="B7" s="13"/>
      <c r="E7" t="s">
        <v>154</v>
      </c>
    </row>
    <row r="8" spans="2:5" ht="12.75">
      <c r="B8" s="13"/>
      <c r="E8" t="s">
        <v>154</v>
      </c>
    </row>
    <row r="9" ht="12.75">
      <c r="B9" s="13"/>
    </row>
    <row r="10" ht="20.25" customHeight="1" thickBot="1">
      <c r="B10" s="9"/>
    </row>
    <row r="11" spans="2:8" ht="15.75">
      <c r="B11" s="15"/>
      <c r="C11" s="15"/>
      <c r="D11" s="14"/>
      <c r="E11" s="14"/>
      <c r="F11" s="14"/>
      <c r="G11" s="30" t="s">
        <v>140</v>
      </c>
      <c r="H11" s="31"/>
    </row>
    <row r="12" spans="2:8" ht="16.5" thickBot="1">
      <c r="B12" s="27"/>
      <c r="C12" s="9"/>
      <c r="D12" s="9"/>
      <c r="E12" s="9"/>
      <c r="F12" s="15"/>
      <c r="G12" s="36" t="s">
        <v>190</v>
      </c>
      <c r="H12" s="37">
        <v>2021</v>
      </c>
    </row>
    <row r="13" spans="2:8" ht="45" customHeight="1" thickBot="1">
      <c r="B13" s="32" t="s">
        <v>141</v>
      </c>
      <c r="C13" s="221" t="s">
        <v>191</v>
      </c>
      <c r="D13" s="221"/>
      <c r="E13" s="221"/>
      <c r="F13" s="33" t="s">
        <v>142</v>
      </c>
      <c r="G13" s="217">
        <v>39613992</v>
      </c>
      <c r="H13" s="218"/>
    </row>
    <row r="14" spans="2:8" ht="32.25" thickBot="1">
      <c r="B14" s="18" t="s">
        <v>143</v>
      </c>
      <c r="C14" s="216" t="s">
        <v>192</v>
      </c>
      <c r="D14" s="216"/>
      <c r="E14" s="216"/>
      <c r="F14" s="16" t="s">
        <v>144</v>
      </c>
      <c r="G14" s="217">
        <v>150</v>
      </c>
      <c r="H14" s="218"/>
    </row>
    <row r="15" spans="2:8" ht="33" customHeight="1" thickBot="1">
      <c r="B15" s="18" t="s">
        <v>145</v>
      </c>
      <c r="C15" s="221"/>
      <c r="D15" s="221"/>
      <c r="E15" s="221"/>
      <c r="F15" s="16" t="s">
        <v>146</v>
      </c>
      <c r="G15" s="40"/>
      <c r="H15" s="41"/>
    </row>
    <row r="16" spans="2:8" ht="29.25" customHeight="1" thickBot="1">
      <c r="B16" s="18" t="s">
        <v>147</v>
      </c>
      <c r="C16" s="221" t="s">
        <v>193</v>
      </c>
      <c r="D16" s="221"/>
      <c r="E16" s="221"/>
      <c r="F16" s="16" t="s">
        <v>148</v>
      </c>
      <c r="G16" s="217" t="s">
        <v>194</v>
      </c>
      <c r="H16" s="218"/>
    </row>
    <row r="17" spans="2:8" ht="32.25" customHeight="1" thickBot="1">
      <c r="B17" s="18" t="s">
        <v>149</v>
      </c>
      <c r="C17" s="39" t="s">
        <v>195</v>
      </c>
      <c r="D17" s="19"/>
      <c r="E17" s="19"/>
      <c r="F17" s="20"/>
      <c r="G17" s="20"/>
      <c r="H17" s="17"/>
    </row>
    <row r="18" spans="2:8" ht="21.75" customHeight="1" thickBot="1">
      <c r="B18" s="18" t="s">
        <v>150</v>
      </c>
      <c r="C18" s="215" t="s">
        <v>196</v>
      </c>
      <c r="D18" s="215"/>
      <c r="E18" s="19"/>
      <c r="F18" s="20"/>
      <c r="G18" s="20"/>
      <c r="H18" s="17"/>
    </row>
    <row r="19" spans="2:8" ht="21.75" customHeight="1" thickBot="1">
      <c r="B19" s="18" t="s">
        <v>151</v>
      </c>
      <c r="C19" s="174">
        <v>179</v>
      </c>
      <c r="D19" s="21"/>
      <c r="E19" s="21"/>
      <c r="F19" s="19"/>
      <c r="G19" s="20"/>
      <c r="H19" s="17"/>
    </row>
    <row r="20" spans="2:8" ht="21.75" customHeight="1" thickBot="1">
      <c r="B20" s="18" t="s">
        <v>152</v>
      </c>
      <c r="C20" s="38" t="s">
        <v>197</v>
      </c>
      <c r="D20" s="20"/>
      <c r="E20" s="20"/>
      <c r="F20" s="38"/>
      <c r="G20" s="20"/>
      <c r="H20" s="17"/>
    </row>
    <row r="21" spans="2:8" ht="21.75" customHeight="1" thickBot="1">
      <c r="B21" s="18" t="s">
        <v>153</v>
      </c>
      <c r="C21" s="42" t="s">
        <v>198</v>
      </c>
      <c r="D21" s="22"/>
      <c r="E21" s="22"/>
      <c r="F21" s="22"/>
      <c r="G21" s="22"/>
      <c r="H21" s="23"/>
    </row>
    <row r="22" spans="2:8" ht="32.25" thickBot="1">
      <c r="B22" s="43" t="s">
        <v>200</v>
      </c>
      <c r="C22" s="38" t="s">
        <v>217</v>
      </c>
      <c r="D22" s="20"/>
      <c r="E22" s="20"/>
      <c r="F22" s="20"/>
      <c r="G22" s="20"/>
      <c r="H22" s="17"/>
    </row>
    <row r="23" spans="2:8" ht="47.25" customHeight="1">
      <c r="B23" s="28"/>
      <c r="E23" s="26"/>
      <c r="F23" s="9"/>
      <c r="G23" s="9"/>
      <c r="H23" s="9"/>
    </row>
    <row r="24" spans="2:8" ht="15.75">
      <c r="B24" s="9"/>
      <c r="C24" s="9"/>
      <c r="D24" s="9"/>
      <c r="E24" s="9"/>
      <c r="F24" s="15"/>
      <c r="G24" s="9"/>
      <c r="H24" s="9"/>
    </row>
    <row r="25" spans="2:8" ht="12.75">
      <c r="B25" s="24"/>
      <c r="C25" s="24"/>
      <c r="D25" s="24"/>
      <c r="E25" s="24"/>
      <c r="F25" s="24"/>
      <c r="G25" s="24"/>
      <c r="H25" s="24"/>
    </row>
    <row r="26" ht="16.5">
      <c r="B26" s="25"/>
    </row>
    <row r="27" ht="15.75">
      <c r="B27" s="8"/>
    </row>
    <row r="28" ht="15.75">
      <c r="B28" s="8"/>
    </row>
    <row r="29" ht="15.75">
      <c r="B29" s="8"/>
    </row>
    <row r="30" ht="15.75">
      <c r="B30" s="8"/>
    </row>
    <row r="31" ht="15.75">
      <c r="B31" s="8"/>
    </row>
    <row r="32" ht="15.75">
      <c r="B32" s="8"/>
    </row>
    <row r="33" ht="15.75">
      <c r="B33" s="8"/>
    </row>
  </sheetData>
  <sheetProtection/>
  <mergeCells count="10">
    <mergeCell ref="C18:D18"/>
    <mergeCell ref="C14:E14"/>
    <mergeCell ref="G14:H14"/>
    <mergeCell ref="E1:H1"/>
    <mergeCell ref="E2:H2"/>
    <mergeCell ref="C13:E13"/>
    <mergeCell ref="G13:H13"/>
    <mergeCell ref="C15:E15"/>
    <mergeCell ref="G16:H16"/>
    <mergeCell ref="C16:E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7"/>
  <sheetViews>
    <sheetView zoomScale="120" zoomScaleNormal="120" zoomScalePageLayoutView="0" workbookViewId="0" topLeftCell="A11">
      <selection activeCell="M30" sqref="M30"/>
    </sheetView>
  </sheetViews>
  <sheetFormatPr defaultColWidth="9.140625" defaultRowHeight="12.75"/>
  <cols>
    <col min="1" max="1" width="35.421875" style="177" customWidth="1"/>
    <col min="2" max="2" width="6.28125" style="177" customWidth="1"/>
    <col min="3" max="3" width="10.57421875" style="177" customWidth="1"/>
    <col min="4" max="4" width="10.421875" style="177" customWidth="1"/>
    <col min="5" max="5" width="9.7109375" style="177" bestFit="1" customWidth="1"/>
    <col min="6" max="6" width="7.140625" style="177" customWidth="1"/>
    <col min="7" max="7" width="7.57421875" style="177" customWidth="1"/>
    <col min="8" max="8" width="7.421875" style="177" customWidth="1"/>
    <col min="9" max="9" width="7.28125" style="177" customWidth="1"/>
    <col min="10" max="12" width="9.7109375" style="1" bestFit="1" customWidth="1"/>
    <col min="13" max="16384" width="9.140625" style="1" customWidth="1"/>
  </cols>
  <sheetData>
    <row r="1" spans="1:9" s="49" customFormat="1" ht="18" customHeight="1">
      <c r="A1" s="229" t="s">
        <v>227</v>
      </c>
      <c r="B1" s="229"/>
      <c r="C1" s="229"/>
      <c r="D1" s="229"/>
      <c r="E1" s="229"/>
      <c r="F1" s="229"/>
      <c r="G1" s="229"/>
      <c r="H1" s="229"/>
      <c r="I1" s="229"/>
    </row>
    <row r="2" spans="1:9" s="49" customFormat="1" ht="12.75">
      <c r="A2" s="76"/>
      <c r="B2" s="76"/>
      <c r="C2" s="76"/>
      <c r="D2" s="76"/>
      <c r="E2" s="76"/>
      <c r="F2" s="76"/>
      <c r="G2" s="230" t="s">
        <v>138</v>
      </c>
      <c r="H2" s="230"/>
      <c r="I2" s="230"/>
    </row>
    <row r="3" spans="1:9" s="49" customFormat="1" ht="12.75">
      <c r="A3" s="231" t="s">
        <v>0</v>
      </c>
      <c r="B3" s="231"/>
      <c r="C3" s="231"/>
      <c r="D3" s="231"/>
      <c r="E3" s="231"/>
      <c r="F3" s="231"/>
      <c r="G3" s="231"/>
      <c r="H3" s="231"/>
      <c r="I3" s="231"/>
    </row>
    <row r="4" spans="1:9" ht="7.5" customHeight="1">
      <c r="A4" s="80"/>
      <c r="B4" s="81"/>
      <c r="C4" s="80"/>
      <c r="D4" s="80"/>
      <c r="E4" s="81"/>
      <c r="F4" s="80"/>
      <c r="G4" s="80"/>
      <c r="H4" s="80"/>
      <c r="I4" s="80"/>
    </row>
    <row r="5" spans="1:9" s="50" customFormat="1" ht="11.25">
      <c r="A5" s="232" t="s">
        <v>1</v>
      </c>
      <c r="B5" s="233" t="s">
        <v>2</v>
      </c>
      <c r="C5" s="233" t="s">
        <v>3</v>
      </c>
      <c r="D5" s="233" t="s">
        <v>4</v>
      </c>
      <c r="E5" s="233" t="s">
        <v>5</v>
      </c>
      <c r="F5" s="233" t="s">
        <v>6</v>
      </c>
      <c r="G5" s="233"/>
      <c r="H5" s="233"/>
      <c r="I5" s="233"/>
    </row>
    <row r="6" spans="1:9" s="50" customFormat="1" ht="11.25">
      <c r="A6" s="232"/>
      <c r="B6" s="233"/>
      <c r="C6" s="233"/>
      <c r="D6" s="233"/>
      <c r="E6" s="233"/>
      <c r="F6" s="162" t="s">
        <v>7</v>
      </c>
      <c r="G6" s="162" t="s">
        <v>8</v>
      </c>
      <c r="H6" s="162" t="s">
        <v>9</v>
      </c>
      <c r="I6" s="162" t="s">
        <v>10</v>
      </c>
    </row>
    <row r="7" spans="1:9" s="50" customFormat="1" ht="11.25">
      <c r="A7" s="112">
        <v>1</v>
      </c>
      <c r="B7" s="87">
        <v>2</v>
      </c>
      <c r="C7" s="87">
        <v>3</v>
      </c>
      <c r="D7" s="87">
        <v>4</v>
      </c>
      <c r="E7" s="87">
        <v>6</v>
      </c>
      <c r="F7" s="87">
        <v>7</v>
      </c>
      <c r="G7" s="87">
        <v>8</v>
      </c>
      <c r="H7" s="87">
        <v>9</v>
      </c>
      <c r="I7" s="87">
        <v>10</v>
      </c>
    </row>
    <row r="8" spans="1:9" s="50" customFormat="1" ht="12.75" customHeight="1">
      <c r="A8" s="89" t="s">
        <v>11</v>
      </c>
      <c r="B8" s="89"/>
      <c r="C8" s="89"/>
      <c r="D8" s="89"/>
      <c r="E8" s="89"/>
      <c r="F8" s="89"/>
      <c r="G8" s="89"/>
      <c r="H8" s="89"/>
      <c r="I8" s="89"/>
    </row>
    <row r="9" spans="1:9" s="50" customFormat="1" ht="24" customHeight="1">
      <c r="A9" s="116" t="s">
        <v>12</v>
      </c>
      <c r="B9" s="179">
        <v>1000</v>
      </c>
      <c r="C9" s="92"/>
      <c r="D9" s="92"/>
      <c r="E9" s="92"/>
      <c r="F9" s="92"/>
      <c r="G9" s="92"/>
      <c r="H9" s="92"/>
      <c r="I9" s="92"/>
    </row>
    <row r="10" spans="1:9" s="50" customFormat="1" ht="24.75" customHeight="1">
      <c r="A10" s="116" t="s">
        <v>13</v>
      </c>
      <c r="B10" s="179">
        <v>1010</v>
      </c>
      <c r="C10" s="92"/>
      <c r="D10" s="92"/>
      <c r="E10" s="92"/>
      <c r="F10" s="92"/>
      <c r="G10" s="92"/>
      <c r="H10" s="92"/>
      <c r="I10" s="92"/>
    </row>
    <row r="11" spans="1:9" s="50" customFormat="1" ht="15" customHeight="1">
      <c r="A11" s="116" t="s">
        <v>14</v>
      </c>
      <c r="B11" s="87">
        <v>1011</v>
      </c>
      <c r="C11" s="92"/>
      <c r="D11" s="92"/>
      <c r="E11" s="92"/>
      <c r="F11" s="92"/>
      <c r="G11" s="92"/>
      <c r="H11" s="92"/>
      <c r="I11" s="92"/>
    </row>
    <row r="12" spans="1:9" s="50" customFormat="1" ht="11.25">
      <c r="A12" s="116" t="s">
        <v>15</v>
      </c>
      <c r="B12" s="87">
        <v>1012</v>
      </c>
      <c r="C12" s="92"/>
      <c r="D12" s="92"/>
      <c r="E12" s="92"/>
      <c r="F12" s="92"/>
      <c r="G12" s="92"/>
      <c r="H12" s="92"/>
      <c r="I12" s="92"/>
    </row>
    <row r="13" spans="1:9" s="50" customFormat="1" ht="11.25">
      <c r="A13" s="116" t="s">
        <v>16</v>
      </c>
      <c r="B13" s="87">
        <v>1013</v>
      </c>
      <c r="C13" s="92"/>
      <c r="D13" s="92"/>
      <c r="E13" s="92"/>
      <c r="F13" s="92"/>
      <c r="G13" s="92"/>
      <c r="H13" s="92"/>
      <c r="I13" s="92"/>
    </row>
    <row r="14" spans="1:9" s="50" customFormat="1" ht="15" customHeight="1">
      <c r="A14" s="116" t="s">
        <v>17</v>
      </c>
      <c r="B14" s="87">
        <v>1014</v>
      </c>
      <c r="C14" s="92"/>
      <c r="D14" s="92"/>
      <c r="E14" s="92"/>
      <c r="F14" s="92"/>
      <c r="G14" s="92"/>
      <c r="H14" s="92"/>
      <c r="I14" s="92"/>
    </row>
    <row r="15" spans="1:9" s="50" customFormat="1" ht="11.25">
      <c r="A15" s="116" t="s">
        <v>18</v>
      </c>
      <c r="B15" s="87">
        <v>1015</v>
      </c>
      <c r="C15" s="92"/>
      <c r="D15" s="92"/>
      <c r="E15" s="92"/>
      <c r="F15" s="92"/>
      <c r="G15" s="92"/>
      <c r="H15" s="92"/>
      <c r="I15" s="92"/>
    </row>
    <row r="16" spans="1:9" s="50" customFormat="1" ht="37.5" customHeight="1">
      <c r="A16" s="116" t="s">
        <v>19</v>
      </c>
      <c r="B16" s="87">
        <v>1016</v>
      </c>
      <c r="C16" s="92"/>
      <c r="D16" s="92"/>
      <c r="E16" s="92"/>
      <c r="F16" s="92"/>
      <c r="G16" s="92"/>
      <c r="H16" s="92"/>
      <c r="I16" s="92"/>
    </row>
    <row r="17" spans="1:9" s="50" customFormat="1" ht="22.5">
      <c r="A17" s="116" t="s">
        <v>20</v>
      </c>
      <c r="B17" s="87">
        <v>1017</v>
      </c>
      <c r="C17" s="92"/>
      <c r="D17" s="92"/>
      <c r="E17" s="92"/>
      <c r="F17" s="92"/>
      <c r="G17" s="92"/>
      <c r="H17" s="92"/>
      <c r="I17" s="92"/>
    </row>
    <row r="18" spans="1:9" s="50" customFormat="1" ht="11.25">
      <c r="A18" s="116" t="s">
        <v>21</v>
      </c>
      <c r="B18" s="87">
        <v>1018</v>
      </c>
      <c r="C18" s="92"/>
      <c r="D18" s="92"/>
      <c r="E18" s="92"/>
      <c r="F18" s="92"/>
      <c r="G18" s="92"/>
      <c r="H18" s="92"/>
      <c r="I18" s="92"/>
    </row>
    <row r="19" spans="1:9" s="50" customFormat="1" ht="11.25">
      <c r="A19" s="89" t="s">
        <v>22</v>
      </c>
      <c r="B19" s="180">
        <v>1020</v>
      </c>
      <c r="C19" s="94"/>
      <c r="D19" s="94"/>
      <c r="E19" s="94"/>
      <c r="F19" s="94"/>
      <c r="G19" s="94"/>
      <c r="H19" s="94"/>
      <c r="I19" s="94"/>
    </row>
    <row r="20" spans="1:10" s="50" customFormat="1" ht="15.75" customHeight="1">
      <c r="A20" s="116" t="s">
        <v>23</v>
      </c>
      <c r="B20" s="179">
        <v>1030</v>
      </c>
      <c r="C20" s="92">
        <f aca="true" t="shared" si="0" ref="C20:I20">C21+C22+C23+C24+C25+C26+C27+C28+C29+C30+C31+C32+C33+C34+C35+C36+C37+C38+C39+C40+C41+C42</f>
        <v>3134</v>
      </c>
      <c r="D20" s="92">
        <f>D21+D22+D23+D24+D25+D26+D27+D28+D29+D30+D31+D32+D33+D34+D35+D36+D37+D38+D39+D40+D41+D42</f>
        <v>3520.5</v>
      </c>
      <c r="E20" s="92">
        <f>E21+E22+E23+E24+E25+E26+E27+E28+E29+E30+E31+E32+E33+E34+E35+E36+E37+E38+E39+E40+E41+E42</f>
        <v>3624.5</v>
      </c>
      <c r="F20" s="92">
        <f t="shared" si="0"/>
        <v>906.5</v>
      </c>
      <c r="G20" s="92">
        <f t="shared" si="0"/>
        <v>897.5</v>
      </c>
      <c r="H20" s="92">
        <f t="shared" si="0"/>
        <v>904.5</v>
      </c>
      <c r="I20" s="92">
        <f t="shared" si="0"/>
        <v>916</v>
      </c>
      <c r="J20" s="51"/>
    </row>
    <row r="21" spans="1:12" s="50" customFormat="1" ht="20.25" customHeight="1">
      <c r="A21" s="116" t="s">
        <v>24</v>
      </c>
      <c r="B21" s="179">
        <v>1031</v>
      </c>
      <c r="C21" s="92">
        <v>21</v>
      </c>
      <c r="D21" s="92">
        <v>20</v>
      </c>
      <c r="E21" s="92">
        <v>10</v>
      </c>
      <c r="F21" s="92">
        <v>2</v>
      </c>
      <c r="G21" s="92">
        <v>3</v>
      </c>
      <c r="H21" s="92">
        <v>3</v>
      </c>
      <c r="I21" s="92">
        <v>2</v>
      </c>
      <c r="J21" s="51"/>
      <c r="L21" s="176"/>
    </row>
    <row r="22" spans="1:10" s="50" customFormat="1" ht="11.25">
      <c r="A22" s="116" t="s">
        <v>25</v>
      </c>
      <c r="B22" s="179">
        <v>1032</v>
      </c>
      <c r="C22" s="92"/>
      <c r="D22" s="92"/>
      <c r="E22" s="92"/>
      <c r="F22" s="92"/>
      <c r="G22" s="92"/>
      <c r="H22" s="92"/>
      <c r="I22" s="92"/>
      <c r="J22" s="51"/>
    </row>
    <row r="23" spans="1:10" s="50" customFormat="1" ht="11.25">
      <c r="A23" s="116" t="s">
        <v>26</v>
      </c>
      <c r="B23" s="179">
        <v>1033</v>
      </c>
      <c r="C23" s="92"/>
      <c r="D23" s="92"/>
      <c r="E23" s="92"/>
      <c r="F23" s="92"/>
      <c r="G23" s="92"/>
      <c r="H23" s="92"/>
      <c r="I23" s="92"/>
      <c r="J23" s="51"/>
    </row>
    <row r="24" spans="1:10" s="50" customFormat="1" ht="11.25">
      <c r="A24" s="116" t="s">
        <v>27</v>
      </c>
      <c r="B24" s="179">
        <v>1034</v>
      </c>
      <c r="C24" s="92"/>
      <c r="D24" s="92"/>
      <c r="E24" s="92"/>
      <c r="F24" s="92"/>
      <c r="G24" s="92"/>
      <c r="H24" s="92"/>
      <c r="I24" s="92"/>
      <c r="J24" s="51"/>
    </row>
    <row r="25" spans="1:10" s="50" customFormat="1" ht="11.25">
      <c r="A25" s="116" t="s">
        <v>28</v>
      </c>
      <c r="B25" s="179">
        <v>1035</v>
      </c>
      <c r="C25" s="92"/>
      <c r="D25" s="92"/>
      <c r="E25" s="92"/>
      <c r="F25" s="92"/>
      <c r="G25" s="92"/>
      <c r="H25" s="92"/>
      <c r="I25" s="92"/>
      <c r="J25" s="51"/>
    </row>
    <row r="26" spans="1:10" s="50" customFormat="1" ht="12.75" customHeight="1">
      <c r="A26" s="116" t="s">
        <v>29</v>
      </c>
      <c r="B26" s="179">
        <v>1036</v>
      </c>
      <c r="C26" s="95">
        <v>2</v>
      </c>
      <c r="D26" s="95">
        <v>6</v>
      </c>
      <c r="E26" s="95">
        <v>4</v>
      </c>
      <c r="F26" s="95">
        <v>1</v>
      </c>
      <c r="G26" s="95">
        <v>1</v>
      </c>
      <c r="H26" s="95">
        <v>1</v>
      </c>
      <c r="I26" s="95">
        <v>1</v>
      </c>
      <c r="J26" s="51"/>
    </row>
    <row r="27" spans="1:10" s="50" customFormat="1" ht="11.25">
      <c r="A27" s="116" t="s">
        <v>30</v>
      </c>
      <c r="B27" s="179">
        <v>1037</v>
      </c>
      <c r="C27" s="95">
        <v>10</v>
      </c>
      <c r="D27" s="95">
        <v>7</v>
      </c>
      <c r="E27" s="95"/>
      <c r="F27" s="95"/>
      <c r="G27" s="95"/>
      <c r="H27" s="95"/>
      <c r="I27" s="95"/>
      <c r="J27" s="51"/>
    </row>
    <row r="28" spans="1:10" s="50" customFormat="1" ht="11.25">
      <c r="A28" s="116" t="s">
        <v>31</v>
      </c>
      <c r="B28" s="179">
        <v>1038</v>
      </c>
      <c r="C28" s="92">
        <v>2448</v>
      </c>
      <c r="D28" s="92">
        <v>2665</v>
      </c>
      <c r="E28" s="92">
        <v>2811</v>
      </c>
      <c r="F28" s="92">
        <v>703</v>
      </c>
      <c r="G28" s="92">
        <v>702</v>
      </c>
      <c r="H28" s="92">
        <v>703</v>
      </c>
      <c r="I28" s="92">
        <v>703</v>
      </c>
      <c r="J28" s="51"/>
    </row>
    <row r="29" spans="1:11" s="50" customFormat="1" ht="16.5" customHeight="1">
      <c r="A29" s="116" t="s">
        <v>32</v>
      </c>
      <c r="B29" s="179">
        <v>1039</v>
      </c>
      <c r="C29" s="92">
        <v>543</v>
      </c>
      <c r="D29" s="92">
        <v>585</v>
      </c>
      <c r="E29" s="92">
        <v>619</v>
      </c>
      <c r="F29" s="92">
        <v>155</v>
      </c>
      <c r="G29" s="92">
        <v>154</v>
      </c>
      <c r="H29" s="92">
        <v>155</v>
      </c>
      <c r="I29" s="92">
        <v>155</v>
      </c>
      <c r="J29" s="51"/>
      <c r="K29" s="51"/>
    </row>
    <row r="30" spans="1:10" s="50" customFormat="1" ht="26.25" customHeight="1">
      <c r="A30" s="116" t="s">
        <v>33</v>
      </c>
      <c r="B30" s="179">
        <v>1040</v>
      </c>
      <c r="C30" s="92">
        <v>26</v>
      </c>
      <c r="D30" s="92"/>
      <c r="E30" s="92">
        <v>25</v>
      </c>
      <c r="F30" s="92">
        <v>6</v>
      </c>
      <c r="G30" s="92">
        <v>6</v>
      </c>
      <c r="H30" s="92">
        <v>6</v>
      </c>
      <c r="I30" s="92">
        <v>7</v>
      </c>
      <c r="J30" s="51"/>
    </row>
    <row r="31" spans="1:10" s="50" customFormat="1" ht="34.5" customHeight="1">
      <c r="A31" s="116" t="s">
        <v>34</v>
      </c>
      <c r="B31" s="179">
        <v>1041</v>
      </c>
      <c r="C31" s="92"/>
      <c r="D31" s="92"/>
      <c r="E31" s="92"/>
      <c r="F31" s="92"/>
      <c r="G31" s="92"/>
      <c r="H31" s="92"/>
      <c r="I31" s="92"/>
      <c r="J31" s="51"/>
    </row>
    <row r="32" spans="1:10" s="50" customFormat="1" ht="22.5">
      <c r="A32" s="116" t="s">
        <v>35</v>
      </c>
      <c r="B32" s="179">
        <v>1042</v>
      </c>
      <c r="C32" s="92"/>
      <c r="D32" s="92"/>
      <c r="E32" s="92"/>
      <c r="F32" s="92"/>
      <c r="G32" s="92"/>
      <c r="H32" s="92"/>
      <c r="I32" s="92"/>
      <c r="J32" s="51"/>
    </row>
    <row r="33" spans="1:10" s="50" customFormat="1" ht="22.5">
      <c r="A33" s="116" t="s">
        <v>36</v>
      </c>
      <c r="B33" s="179">
        <v>1043</v>
      </c>
      <c r="C33" s="92"/>
      <c r="D33" s="92"/>
      <c r="E33" s="92"/>
      <c r="F33" s="92"/>
      <c r="G33" s="92"/>
      <c r="H33" s="92"/>
      <c r="I33" s="92"/>
      <c r="J33" s="51"/>
    </row>
    <row r="34" spans="1:10" s="50" customFormat="1" ht="11.25">
      <c r="A34" s="116" t="s">
        <v>37</v>
      </c>
      <c r="B34" s="179">
        <v>1044</v>
      </c>
      <c r="C34" s="92"/>
      <c r="D34" s="92"/>
      <c r="E34" s="92"/>
      <c r="F34" s="92"/>
      <c r="G34" s="92"/>
      <c r="H34" s="92"/>
      <c r="I34" s="92"/>
      <c r="J34" s="51"/>
    </row>
    <row r="35" spans="1:10" s="50" customFormat="1" ht="11.25">
      <c r="A35" s="116" t="s">
        <v>38</v>
      </c>
      <c r="B35" s="179">
        <v>1045</v>
      </c>
      <c r="C35" s="92">
        <v>7</v>
      </c>
      <c r="D35" s="92">
        <v>15</v>
      </c>
      <c r="E35" s="92">
        <v>1</v>
      </c>
      <c r="F35" s="92">
        <v>1</v>
      </c>
      <c r="G35" s="92"/>
      <c r="H35" s="92"/>
      <c r="I35" s="92"/>
      <c r="J35" s="51"/>
    </row>
    <row r="36" spans="1:10" s="50" customFormat="1" ht="11.25">
      <c r="A36" s="116" t="s">
        <v>39</v>
      </c>
      <c r="B36" s="179">
        <v>1046</v>
      </c>
      <c r="C36" s="92">
        <v>1</v>
      </c>
      <c r="D36" s="92">
        <v>2</v>
      </c>
      <c r="E36" s="92"/>
      <c r="F36" s="92"/>
      <c r="G36" s="92"/>
      <c r="H36" s="92"/>
      <c r="I36" s="92"/>
      <c r="J36" s="51"/>
    </row>
    <row r="37" spans="1:10" s="50" customFormat="1" ht="11.25">
      <c r="A37" s="116" t="s">
        <v>40</v>
      </c>
      <c r="B37" s="179">
        <v>1047</v>
      </c>
      <c r="C37" s="92"/>
      <c r="D37" s="92"/>
      <c r="E37" s="92"/>
      <c r="F37" s="92"/>
      <c r="G37" s="92"/>
      <c r="H37" s="92"/>
      <c r="I37" s="92"/>
      <c r="J37" s="51"/>
    </row>
    <row r="38" spans="1:10" s="50" customFormat="1" ht="22.5">
      <c r="A38" s="116" t="s">
        <v>41</v>
      </c>
      <c r="B38" s="179">
        <v>1048</v>
      </c>
      <c r="C38" s="92"/>
      <c r="D38" s="92"/>
      <c r="E38" s="92"/>
      <c r="F38" s="92"/>
      <c r="G38" s="92"/>
      <c r="H38" s="92"/>
      <c r="I38" s="92"/>
      <c r="J38" s="51"/>
    </row>
    <row r="39" spans="1:10" s="50" customFormat="1" ht="22.5">
      <c r="A39" s="116" t="s">
        <v>42</v>
      </c>
      <c r="B39" s="179">
        <v>1049</v>
      </c>
      <c r="C39" s="92">
        <v>5</v>
      </c>
      <c r="D39" s="92">
        <v>12</v>
      </c>
      <c r="E39" s="92"/>
      <c r="F39" s="92"/>
      <c r="G39" s="92">
        <v>0</v>
      </c>
      <c r="H39" s="92"/>
      <c r="I39" s="92"/>
      <c r="J39" s="51"/>
    </row>
    <row r="40" spans="1:11" s="50" customFormat="1" ht="36.75" customHeight="1">
      <c r="A40" s="116" t="s">
        <v>43</v>
      </c>
      <c r="B40" s="179">
        <v>1050</v>
      </c>
      <c r="C40" s="92"/>
      <c r="D40" s="92"/>
      <c r="E40" s="92"/>
      <c r="F40" s="92"/>
      <c r="G40" s="92"/>
      <c r="H40" s="92"/>
      <c r="I40" s="92"/>
      <c r="J40" s="51"/>
      <c r="K40" s="51"/>
    </row>
    <row r="41" spans="1:10" s="50" customFormat="1" ht="11.25">
      <c r="A41" s="116" t="s">
        <v>44</v>
      </c>
      <c r="B41" s="112" t="s">
        <v>45</v>
      </c>
      <c r="C41" s="92"/>
      <c r="D41" s="92"/>
      <c r="E41" s="92"/>
      <c r="F41" s="92"/>
      <c r="G41" s="92"/>
      <c r="H41" s="92"/>
      <c r="I41" s="92"/>
      <c r="J41" s="51"/>
    </row>
    <row r="42" spans="1:10" s="50" customFormat="1" ht="11.25" customHeight="1">
      <c r="A42" s="116" t="s">
        <v>212</v>
      </c>
      <c r="B42" s="179">
        <v>1051</v>
      </c>
      <c r="C42" s="92">
        <f>C44+C45+C46+C47+C48+C49+C50+C51+C52+C53+C54+C55+C56</f>
        <v>71</v>
      </c>
      <c r="D42" s="92">
        <f>D44+D45+D46+D47+D48+D49+D50+D51+D52+D53+D54+D55+D56+D57</f>
        <v>208.5</v>
      </c>
      <c r="E42" s="92">
        <f>E44+E45+E46+E47+E48+E49+E50+E51+E52+E53+E54+E55+E56+E57</f>
        <v>154.5</v>
      </c>
      <c r="F42" s="92">
        <f>F44+F45+F46+F47+F48+F49+F50+F51+F52+F53+F54+F55+F56</f>
        <v>38.5</v>
      </c>
      <c r="G42" s="92">
        <f>G44+G45+G46+G47+G48+G49+G50+G51+G52+G53+G54+G55+G56+G57</f>
        <v>31.5</v>
      </c>
      <c r="H42" s="92">
        <f>H44+H45+H46+H47+H48+H49+H50+H51+H52+H53+H54+H55+H56+H57</f>
        <v>36.5</v>
      </c>
      <c r="I42" s="92">
        <f>I44+I45+I46+I47+I48+I49+I50+I51+I52+I53+I54+I55+I56</f>
        <v>48</v>
      </c>
      <c r="J42" s="51"/>
    </row>
    <row r="43" spans="1:10" s="50" customFormat="1" ht="11.25" customHeight="1">
      <c r="A43" s="181"/>
      <c r="B43" s="179"/>
      <c r="C43" s="92"/>
      <c r="D43" s="92"/>
      <c r="E43" s="92"/>
      <c r="F43" s="92"/>
      <c r="G43" s="92"/>
      <c r="H43" s="92"/>
      <c r="I43" s="92"/>
      <c r="J43" s="51"/>
    </row>
    <row r="44" spans="1:10" s="50" customFormat="1" ht="9.75" customHeight="1">
      <c r="A44" s="182" t="s">
        <v>176</v>
      </c>
      <c r="B44" s="179"/>
      <c r="C44" s="92">
        <v>11</v>
      </c>
      <c r="D44" s="92">
        <v>10</v>
      </c>
      <c r="E44" s="92">
        <v>11</v>
      </c>
      <c r="F44" s="92">
        <v>3</v>
      </c>
      <c r="G44" s="92">
        <v>3</v>
      </c>
      <c r="H44" s="92">
        <v>3</v>
      </c>
      <c r="I44" s="92">
        <v>2</v>
      </c>
      <c r="J44" s="51"/>
    </row>
    <row r="45" spans="1:10" s="50" customFormat="1" ht="22.5" customHeight="1">
      <c r="A45" s="183" t="s">
        <v>177</v>
      </c>
      <c r="B45" s="179"/>
      <c r="C45" s="92">
        <v>2</v>
      </c>
      <c r="D45" s="92">
        <v>9</v>
      </c>
      <c r="E45" s="92">
        <v>6</v>
      </c>
      <c r="F45" s="92">
        <v>1</v>
      </c>
      <c r="G45" s="92">
        <v>2</v>
      </c>
      <c r="H45" s="92">
        <v>2</v>
      </c>
      <c r="I45" s="92">
        <v>1</v>
      </c>
      <c r="J45" s="51"/>
    </row>
    <row r="46" spans="1:10" s="50" customFormat="1" ht="23.25" customHeight="1">
      <c r="A46" s="183" t="s">
        <v>178</v>
      </c>
      <c r="B46" s="179"/>
      <c r="C46" s="92"/>
      <c r="D46" s="92">
        <v>16</v>
      </c>
      <c r="E46" s="92">
        <v>11</v>
      </c>
      <c r="F46" s="92">
        <v>3</v>
      </c>
      <c r="G46" s="92">
        <v>3</v>
      </c>
      <c r="H46" s="92">
        <v>3</v>
      </c>
      <c r="I46" s="92">
        <v>2</v>
      </c>
      <c r="J46" s="51"/>
    </row>
    <row r="47" spans="1:10" s="50" customFormat="1" ht="12.75" customHeight="1">
      <c r="A47" s="184" t="s">
        <v>179</v>
      </c>
      <c r="B47" s="179"/>
      <c r="C47" s="92"/>
      <c r="D47" s="92">
        <v>1</v>
      </c>
      <c r="E47" s="92">
        <v>1</v>
      </c>
      <c r="F47" s="98"/>
      <c r="G47" s="98">
        <v>0.5</v>
      </c>
      <c r="H47" s="98">
        <v>0.5</v>
      </c>
      <c r="I47" s="98"/>
      <c r="J47" s="51"/>
    </row>
    <row r="48" spans="1:10" s="50" customFormat="1" ht="15" customHeight="1">
      <c r="A48" s="182" t="s">
        <v>180</v>
      </c>
      <c r="B48" s="179"/>
      <c r="C48" s="92"/>
      <c r="D48" s="92"/>
      <c r="E48" s="92"/>
      <c r="F48" s="92"/>
      <c r="G48" s="92"/>
      <c r="H48" s="92"/>
      <c r="I48" s="92"/>
      <c r="J48" s="51"/>
    </row>
    <row r="49" spans="1:10" s="50" customFormat="1" ht="11.25" customHeight="1">
      <c r="A49" s="182" t="s">
        <v>181</v>
      </c>
      <c r="B49" s="179"/>
      <c r="C49" s="92"/>
      <c r="D49" s="98">
        <v>0.5</v>
      </c>
      <c r="E49" s="98">
        <v>0.5</v>
      </c>
      <c r="F49" s="98">
        <v>0.5</v>
      </c>
      <c r="G49" s="92"/>
      <c r="H49" s="98"/>
      <c r="I49" s="98"/>
      <c r="J49" s="51"/>
    </row>
    <row r="50" spans="1:10" s="50" customFormat="1" ht="22.5" customHeight="1">
      <c r="A50" s="184" t="s">
        <v>182</v>
      </c>
      <c r="B50" s="179"/>
      <c r="C50" s="92">
        <v>6</v>
      </c>
      <c r="D50" s="92">
        <v>7</v>
      </c>
      <c r="E50" s="92">
        <v>7</v>
      </c>
      <c r="F50" s="92">
        <v>1</v>
      </c>
      <c r="G50" s="92">
        <v>2</v>
      </c>
      <c r="H50" s="92">
        <v>2</v>
      </c>
      <c r="I50" s="92">
        <v>2</v>
      </c>
      <c r="J50" s="51"/>
    </row>
    <row r="51" spans="1:10" s="50" customFormat="1" ht="11.25" customHeight="1">
      <c r="A51" s="184" t="s">
        <v>183</v>
      </c>
      <c r="B51" s="179"/>
      <c r="C51" s="92">
        <v>3</v>
      </c>
      <c r="D51" s="92">
        <v>4</v>
      </c>
      <c r="E51" s="92">
        <v>5</v>
      </c>
      <c r="F51" s="92">
        <v>1</v>
      </c>
      <c r="G51" s="92">
        <v>1</v>
      </c>
      <c r="H51" s="92">
        <v>2</v>
      </c>
      <c r="I51" s="92">
        <v>1</v>
      </c>
      <c r="J51" s="51"/>
    </row>
    <row r="52" spans="1:10" s="50" customFormat="1" ht="14.25" customHeight="1">
      <c r="A52" s="182" t="s">
        <v>184</v>
      </c>
      <c r="B52" s="179"/>
      <c r="C52" s="92">
        <v>5</v>
      </c>
      <c r="D52" s="92">
        <v>13</v>
      </c>
      <c r="E52" s="92">
        <v>13</v>
      </c>
      <c r="F52" s="92">
        <v>7</v>
      </c>
      <c r="G52" s="92"/>
      <c r="H52" s="92"/>
      <c r="I52" s="92">
        <v>6</v>
      </c>
      <c r="J52" s="51"/>
    </row>
    <row r="53" spans="1:10" s="50" customFormat="1" ht="11.25" customHeight="1">
      <c r="A53" s="182" t="s">
        <v>185</v>
      </c>
      <c r="B53" s="179"/>
      <c r="C53" s="92">
        <v>18</v>
      </c>
      <c r="D53" s="92">
        <v>14</v>
      </c>
      <c r="E53" s="92">
        <v>14</v>
      </c>
      <c r="F53" s="92">
        <v>4</v>
      </c>
      <c r="G53" s="92">
        <v>3</v>
      </c>
      <c r="H53" s="92">
        <v>3</v>
      </c>
      <c r="I53" s="92">
        <v>4</v>
      </c>
      <c r="J53" s="51"/>
    </row>
    <row r="54" spans="1:10" s="50" customFormat="1" ht="11.25">
      <c r="A54" s="182" t="s">
        <v>186</v>
      </c>
      <c r="B54" s="179"/>
      <c r="C54" s="92">
        <v>15</v>
      </c>
      <c r="D54" s="92">
        <v>53</v>
      </c>
      <c r="E54" s="92">
        <v>26</v>
      </c>
      <c r="F54" s="92">
        <v>11</v>
      </c>
      <c r="G54" s="92">
        <v>5</v>
      </c>
      <c r="H54" s="92">
        <v>5</v>
      </c>
      <c r="I54" s="92">
        <v>5</v>
      </c>
      <c r="J54" s="51"/>
    </row>
    <row r="55" spans="1:10" s="50" customFormat="1" ht="13.5" customHeight="1">
      <c r="A55" s="182" t="s">
        <v>187</v>
      </c>
      <c r="B55" s="179"/>
      <c r="C55" s="92"/>
      <c r="D55" s="92">
        <v>47</v>
      </c>
      <c r="E55" s="92">
        <v>28</v>
      </c>
      <c r="F55" s="92">
        <v>7</v>
      </c>
      <c r="G55" s="92">
        <v>7</v>
      </c>
      <c r="H55" s="92">
        <v>7</v>
      </c>
      <c r="I55" s="92">
        <v>7</v>
      </c>
      <c r="J55" s="51"/>
    </row>
    <row r="56" spans="1:10" s="50" customFormat="1" ht="15.75" customHeight="1">
      <c r="A56" s="182" t="s">
        <v>188</v>
      </c>
      <c r="B56" s="179"/>
      <c r="C56" s="92">
        <v>11</v>
      </c>
      <c r="D56" s="92">
        <v>25</v>
      </c>
      <c r="E56" s="92">
        <v>23</v>
      </c>
      <c r="F56" s="92"/>
      <c r="G56" s="92">
        <v>5</v>
      </c>
      <c r="H56" s="92"/>
      <c r="I56" s="92">
        <v>18</v>
      </c>
      <c r="J56" s="51"/>
    </row>
    <row r="57" spans="1:10" s="50" customFormat="1" ht="15.75" customHeight="1">
      <c r="A57" s="192" t="s">
        <v>220</v>
      </c>
      <c r="B57" s="179"/>
      <c r="C57" s="92"/>
      <c r="D57" s="92">
        <f>7+2</f>
        <v>9</v>
      </c>
      <c r="E57" s="92">
        <v>9</v>
      </c>
      <c r="F57" s="92"/>
      <c r="G57" s="92"/>
      <c r="H57" s="92">
        <v>9</v>
      </c>
      <c r="I57" s="92"/>
      <c r="J57" s="51"/>
    </row>
    <row r="58" spans="1:10" s="50" customFormat="1" ht="13.5" customHeight="1">
      <c r="A58" s="116" t="s">
        <v>46</v>
      </c>
      <c r="B58" s="179">
        <v>1060</v>
      </c>
      <c r="C58" s="92"/>
      <c r="D58" s="92"/>
      <c r="E58" s="92"/>
      <c r="F58" s="92"/>
      <c r="G58" s="92"/>
      <c r="H58" s="92"/>
      <c r="I58" s="92"/>
      <c r="J58" s="51"/>
    </row>
    <row r="59" spans="1:10" s="50" customFormat="1" ht="13.5" customHeight="1">
      <c r="A59" s="116" t="s">
        <v>47</v>
      </c>
      <c r="B59" s="179">
        <v>1061</v>
      </c>
      <c r="C59" s="92"/>
      <c r="D59" s="92"/>
      <c r="E59" s="92"/>
      <c r="F59" s="92"/>
      <c r="G59" s="92"/>
      <c r="H59" s="92"/>
      <c r="I59" s="92"/>
      <c r="J59" s="51"/>
    </row>
    <row r="60" spans="1:11" s="50" customFormat="1" ht="11.25">
      <c r="A60" s="116" t="s">
        <v>48</v>
      </c>
      <c r="B60" s="179">
        <v>1062</v>
      </c>
      <c r="C60" s="92"/>
      <c r="D60" s="92"/>
      <c r="E60" s="92"/>
      <c r="F60" s="92"/>
      <c r="G60" s="92"/>
      <c r="H60" s="92"/>
      <c r="I60" s="92"/>
      <c r="J60" s="51"/>
      <c r="K60" s="51"/>
    </row>
    <row r="61" spans="1:10" s="50" customFormat="1" ht="12.75" customHeight="1">
      <c r="A61" s="116" t="s">
        <v>31</v>
      </c>
      <c r="B61" s="179">
        <v>1063</v>
      </c>
      <c r="C61" s="92"/>
      <c r="D61" s="92"/>
      <c r="E61" s="92"/>
      <c r="F61" s="92"/>
      <c r="G61" s="92"/>
      <c r="H61" s="92"/>
      <c r="I61" s="92"/>
      <c r="J61" s="51"/>
    </row>
    <row r="62" spans="1:10" s="50" customFormat="1" ht="13.5" customHeight="1">
      <c r="A62" s="116" t="s">
        <v>32</v>
      </c>
      <c r="B62" s="179">
        <v>1064</v>
      </c>
      <c r="C62" s="92"/>
      <c r="D62" s="92"/>
      <c r="E62" s="92"/>
      <c r="F62" s="92"/>
      <c r="G62" s="92"/>
      <c r="H62" s="92"/>
      <c r="I62" s="92"/>
      <c r="J62" s="51"/>
    </row>
    <row r="63" spans="1:10" s="50" customFormat="1" ht="26.25" customHeight="1">
      <c r="A63" s="116" t="s">
        <v>49</v>
      </c>
      <c r="B63" s="179">
        <v>1065</v>
      </c>
      <c r="C63" s="92"/>
      <c r="D63" s="92"/>
      <c r="E63" s="92"/>
      <c r="F63" s="92"/>
      <c r="G63" s="92"/>
      <c r="H63" s="92"/>
      <c r="I63" s="92"/>
      <c r="J63" s="51"/>
    </row>
    <row r="64" spans="1:10" s="50" customFormat="1" ht="13.5" customHeight="1">
      <c r="A64" s="116" t="s">
        <v>50</v>
      </c>
      <c r="B64" s="179">
        <v>1066</v>
      </c>
      <c r="C64" s="92"/>
      <c r="D64" s="92"/>
      <c r="E64" s="92"/>
      <c r="F64" s="92"/>
      <c r="G64" s="92"/>
      <c r="H64" s="92"/>
      <c r="I64" s="92"/>
      <c r="J64" s="51"/>
    </row>
    <row r="65" spans="1:10" s="50" customFormat="1" ht="18.75" customHeight="1">
      <c r="A65" s="116" t="s">
        <v>51</v>
      </c>
      <c r="B65" s="179">
        <v>1067</v>
      </c>
      <c r="C65" s="92"/>
      <c r="D65" s="92"/>
      <c r="E65" s="92"/>
      <c r="F65" s="92"/>
      <c r="G65" s="92"/>
      <c r="H65" s="92"/>
      <c r="I65" s="92"/>
      <c r="J65" s="51"/>
    </row>
    <row r="66" spans="1:10" s="50" customFormat="1" ht="11.25">
      <c r="A66" s="116" t="s">
        <v>137</v>
      </c>
      <c r="B66" s="179">
        <v>1070</v>
      </c>
      <c r="C66" s="92">
        <f aca="true" t="shared" si="1" ref="C66:I66">C67+C68+C69+C70+C71+C72</f>
        <v>32810</v>
      </c>
      <c r="D66" s="92">
        <f>D67+D68+D69+D70+D71+D72</f>
        <v>37388</v>
      </c>
      <c r="E66" s="92">
        <f t="shared" si="1"/>
        <v>48864</v>
      </c>
      <c r="F66" s="92">
        <f t="shared" si="1"/>
        <v>9214.5</v>
      </c>
      <c r="G66" s="92">
        <f t="shared" si="1"/>
        <v>15216.5</v>
      </c>
      <c r="H66" s="92">
        <f t="shared" si="1"/>
        <v>15217.5</v>
      </c>
      <c r="I66" s="92">
        <f t="shared" si="1"/>
        <v>9215.5</v>
      </c>
      <c r="J66" s="51"/>
    </row>
    <row r="67" spans="1:10" s="50" customFormat="1" ht="11.25">
      <c r="A67" s="116" t="s">
        <v>201</v>
      </c>
      <c r="B67" s="179"/>
      <c r="C67" s="92">
        <v>31906</v>
      </c>
      <c r="D67" s="92">
        <f>40507-201-3790</f>
        <v>36516</v>
      </c>
      <c r="E67" s="92">
        <f>39246+150+8823-62+180</f>
        <v>48337</v>
      </c>
      <c r="F67" s="92">
        <f>12084-3000</f>
        <v>9084</v>
      </c>
      <c r="G67" s="92">
        <f>12084+3000</f>
        <v>15084</v>
      </c>
      <c r="H67" s="92">
        <f>12084+3000</f>
        <v>15084</v>
      </c>
      <c r="I67" s="92">
        <f>12085-3000</f>
        <v>9085</v>
      </c>
      <c r="J67" s="51"/>
    </row>
    <row r="68" spans="1:16" s="50" customFormat="1" ht="11.25">
      <c r="A68" s="116" t="s">
        <v>202</v>
      </c>
      <c r="B68" s="179"/>
      <c r="C68" s="92">
        <v>242</v>
      </c>
      <c r="D68" s="92">
        <v>245</v>
      </c>
      <c r="E68" s="92">
        <v>89</v>
      </c>
      <c r="F68" s="92">
        <v>22</v>
      </c>
      <c r="G68" s="92">
        <v>22</v>
      </c>
      <c r="H68" s="92">
        <v>23</v>
      </c>
      <c r="I68" s="92">
        <v>22</v>
      </c>
      <c r="J68" s="51"/>
      <c r="K68" s="51"/>
      <c r="L68" s="51">
        <v>39245758</v>
      </c>
      <c r="M68" s="51">
        <v>118600</v>
      </c>
      <c r="N68" s="50">
        <v>8823178</v>
      </c>
      <c r="O68" s="50">
        <v>150000</v>
      </c>
      <c r="P68" s="51">
        <f>SUM(L68:O68)</f>
        <v>48337536</v>
      </c>
    </row>
    <row r="69" spans="1:10" s="50" customFormat="1" ht="11.25">
      <c r="A69" s="116" t="s">
        <v>203</v>
      </c>
      <c r="B69" s="179"/>
      <c r="C69" s="92">
        <v>238</v>
      </c>
      <c r="D69" s="92">
        <v>255</v>
      </c>
      <c r="E69" s="92">
        <v>91</v>
      </c>
      <c r="F69" s="92">
        <v>22</v>
      </c>
      <c r="G69" s="92">
        <v>23</v>
      </c>
      <c r="H69" s="92">
        <v>23</v>
      </c>
      <c r="I69" s="92">
        <v>23</v>
      </c>
      <c r="J69" s="51"/>
    </row>
    <row r="70" spans="1:10" s="50" customFormat="1" ht="11.25">
      <c r="A70" s="116" t="s">
        <v>204</v>
      </c>
      <c r="B70" s="179"/>
      <c r="C70" s="92">
        <v>2</v>
      </c>
      <c r="D70" s="92">
        <v>2</v>
      </c>
      <c r="E70" s="92">
        <v>2</v>
      </c>
      <c r="F70" s="98">
        <v>0.5</v>
      </c>
      <c r="G70" s="98">
        <v>0.5</v>
      </c>
      <c r="H70" s="98">
        <v>0.5</v>
      </c>
      <c r="I70" s="98">
        <v>0.5</v>
      </c>
      <c r="J70" s="51"/>
    </row>
    <row r="71" spans="1:11" s="50" customFormat="1" ht="33.75">
      <c r="A71" s="116" t="s">
        <v>229</v>
      </c>
      <c r="B71" s="179"/>
      <c r="C71" s="92">
        <v>85</v>
      </c>
      <c r="D71" s="92">
        <v>85</v>
      </c>
      <c r="E71" s="92">
        <v>115</v>
      </c>
      <c r="F71" s="92">
        <v>29</v>
      </c>
      <c r="G71" s="92">
        <v>29</v>
      </c>
      <c r="H71" s="92">
        <v>29</v>
      </c>
      <c r="I71" s="92">
        <v>28</v>
      </c>
      <c r="J71" s="51"/>
      <c r="K71" s="51"/>
    </row>
    <row r="72" spans="1:11" s="50" customFormat="1" ht="11.25">
      <c r="A72" s="116" t="s">
        <v>205</v>
      </c>
      <c r="B72" s="179"/>
      <c r="C72" s="92">
        <v>337</v>
      </c>
      <c r="D72" s="92">
        <v>285</v>
      </c>
      <c r="E72" s="92">
        <v>230</v>
      </c>
      <c r="F72" s="92">
        <v>57</v>
      </c>
      <c r="G72" s="92">
        <v>58</v>
      </c>
      <c r="H72" s="92">
        <v>58</v>
      </c>
      <c r="I72" s="92">
        <v>57</v>
      </c>
      <c r="J72" s="51"/>
      <c r="K72" s="51"/>
    </row>
    <row r="73" spans="1:13" s="50" customFormat="1" ht="11.25">
      <c r="A73" s="193" t="s">
        <v>52</v>
      </c>
      <c r="B73" s="179">
        <v>1080</v>
      </c>
      <c r="C73" s="92">
        <f aca="true" t="shared" si="2" ref="C73:I73">C74+C75+C76+C77+C78+C79+C80+C81</f>
        <v>31229</v>
      </c>
      <c r="D73" s="92">
        <f>D74+D75+D76+D77+D78+D79+D80+D81</f>
        <v>36525.5</v>
      </c>
      <c r="E73" s="92">
        <f>E74+E75+E76+E77+E78+E79+E80+E81</f>
        <v>49167</v>
      </c>
      <c r="F73" s="92">
        <f t="shared" si="2"/>
        <v>9290</v>
      </c>
      <c r="G73" s="92">
        <f t="shared" si="2"/>
        <v>15301</v>
      </c>
      <c r="H73" s="92">
        <f t="shared" si="2"/>
        <v>15294</v>
      </c>
      <c r="I73" s="92">
        <f t="shared" si="2"/>
        <v>9282</v>
      </c>
      <c r="J73" s="51"/>
      <c r="K73" s="51"/>
      <c r="M73" s="51"/>
    </row>
    <row r="74" spans="1:13" s="50" customFormat="1" ht="11.25">
      <c r="A74" s="116" t="s">
        <v>14</v>
      </c>
      <c r="B74" s="179"/>
      <c r="C74" s="92">
        <v>2474</v>
      </c>
      <c r="D74" s="92">
        <f>6118-27-3791-201+60</f>
        <v>2159</v>
      </c>
      <c r="E74" s="92">
        <f>F74+G74+H74+I74</f>
        <v>5429</v>
      </c>
      <c r="F74" s="92">
        <f>1781-F81+5-36</f>
        <v>1465</v>
      </c>
      <c r="G74" s="92">
        <f>1573-G81+3-36</f>
        <v>1256</v>
      </c>
      <c r="H74" s="92">
        <f>1566-H81+3-35</f>
        <v>1249</v>
      </c>
      <c r="I74" s="92">
        <f>1775-I81+4-36</f>
        <v>1459</v>
      </c>
      <c r="J74" s="51"/>
      <c r="K74" s="51"/>
      <c r="L74" s="51"/>
      <c r="M74" s="51"/>
    </row>
    <row r="75" spans="1:13" s="50" customFormat="1" ht="11.25">
      <c r="A75" s="116" t="s">
        <v>15</v>
      </c>
      <c r="B75" s="179"/>
      <c r="C75" s="92">
        <v>1640</v>
      </c>
      <c r="D75" s="92">
        <f>1790-D21+230</f>
        <v>2000</v>
      </c>
      <c r="E75" s="92">
        <f>F75+G75+H75+I75</f>
        <v>1638</v>
      </c>
      <c r="F75" s="92">
        <f>412-F21</f>
        <v>410</v>
      </c>
      <c r="G75" s="92">
        <f>412-G21</f>
        <v>409</v>
      </c>
      <c r="H75" s="92">
        <f>412-H21</f>
        <v>409</v>
      </c>
      <c r="I75" s="92">
        <f>412-I21</f>
        <v>410</v>
      </c>
      <c r="J75" s="51"/>
      <c r="L75" s="51"/>
      <c r="M75" s="51"/>
    </row>
    <row r="76" spans="1:10" s="50" customFormat="1" ht="11.25">
      <c r="A76" s="116" t="s">
        <v>16</v>
      </c>
      <c r="B76" s="179"/>
      <c r="C76" s="92">
        <v>2364</v>
      </c>
      <c r="D76" s="92">
        <f>2974-D53</f>
        <v>2960</v>
      </c>
      <c r="E76" s="92">
        <f>F76+G76+H76+I76</f>
        <v>1878</v>
      </c>
      <c r="F76" s="92">
        <f>473-F53</f>
        <v>469</v>
      </c>
      <c r="G76" s="92">
        <f>473-G53</f>
        <v>470</v>
      </c>
      <c r="H76" s="92">
        <f>473-H53</f>
        <v>470</v>
      </c>
      <c r="I76" s="92">
        <f>473-I53</f>
        <v>469</v>
      </c>
      <c r="J76" s="51"/>
    </row>
    <row r="77" spans="1:10" s="50" customFormat="1" ht="11.25">
      <c r="A77" s="116" t="s">
        <v>17</v>
      </c>
      <c r="B77" s="179"/>
      <c r="C77" s="92">
        <v>12704</v>
      </c>
      <c r="D77" s="92">
        <f>17441-D28+312</f>
        <v>15088</v>
      </c>
      <c r="E77" s="92">
        <v>18436</v>
      </c>
      <c r="F77" s="92">
        <v>4609</v>
      </c>
      <c r="G77" s="92">
        <v>4609</v>
      </c>
      <c r="H77" s="92">
        <v>4609</v>
      </c>
      <c r="I77" s="92">
        <v>4609</v>
      </c>
      <c r="J77" s="51"/>
    </row>
    <row r="78" spans="1:14" s="50" customFormat="1" ht="11.25">
      <c r="A78" s="116" t="s">
        <v>18</v>
      </c>
      <c r="B78" s="179"/>
      <c r="C78" s="92">
        <v>2778</v>
      </c>
      <c r="D78" s="92">
        <f>3837-D29+68</f>
        <v>3320</v>
      </c>
      <c r="E78" s="92">
        <f>F78+G78+H78+I78</f>
        <v>4055</v>
      </c>
      <c r="F78" s="92">
        <f>978+36</f>
        <v>1014</v>
      </c>
      <c r="G78" s="92">
        <f>978+36</f>
        <v>1014</v>
      </c>
      <c r="H78" s="92">
        <f>978+35</f>
        <v>1013</v>
      </c>
      <c r="I78" s="92">
        <f>978+36</f>
        <v>1014</v>
      </c>
      <c r="J78" s="51"/>
      <c r="K78" s="51"/>
      <c r="L78" s="51"/>
      <c r="M78" s="51"/>
      <c r="N78" s="51"/>
    </row>
    <row r="79" spans="1:12" s="50" customFormat="1" ht="45">
      <c r="A79" s="116" t="s">
        <v>231</v>
      </c>
      <c r="B79" s="179"/>
      <c r="C79" s="92">
        <v>5454</v>
      </c>
      <c r="D79" s="92">
        <f>7188+25</f>
        <v>7213</v>
      </c>
      <c r="E79" s="92">
        <f>12444+18+13+68</f>
        <v>12543</v>
      </c>
      <c r="F79" s="92">
        <v>25</v>
      </c>
      <c r="G79" s="92">
        <f>6222+24</f>
        <v>6246</v>
      </c>
      <c r="H79" s="92">
        <f>6222+25</f>
        <v>6247</v>
      </c>
      <c r="I79" s="92">
        <v>25</v>
      </c>
      <c r="J79" s="51"/>
      <c r="K79" s="51"/>
      <c r="L79" s="51"/>
    </row>
    <row r="80" spans="1:11" s="50" customFormat="1" ht="22.5">
      <c r="A80" s="116" t="s">
        <v>20</v>
      </c>
      <c r="B80" s="179"/>
      <c r="C80" s="92">
        <v>2818</v>
      </c>
      <c r="D80" s="92">
        <v>2836</v>
      </c>
      <c r="E80" s="92">
        <f>F80+G80+H80+I80</f>
        <v>4050</v>
      </c>
      <c r="F80" s="92">
        <f>1019-F30</f>
        <v>1013</v>
      </c>
      <c r="G80" s="92">
        <f>1019-G30</f>
        <v>1013</v>
      </c>
      <c r="H80" s="92">
        <f>1018-H30</f>
        <v>1012</v>
      </c>
      <c r="I80" s="92">
        <f>1019-I30</f>
        <v>1012</v>
      </c>
      <c r="J80" s="51"/>
      <c r="K80" s="51"/>
    </row>
    <row r="81" spans="1:10" s="50" customFormat="1" ht="11.25">
      <c r="A81" s="116" t="s">
        <v>214</v>
      </c>
      <c r="B81" s="180"/>
      <c r="C81" s="94">
        <v>997</v>
      </c>
      <c r="D81" s="92">
        <f>1158-D42</f>
        <v>949.5</v>
      </c>
      <c r="E81" s="92">
        <f>204+9+155+666+90+14</f>
        <v>1138</v>
      </c>
      <c r="F81" s="92">
        <v>285</v>
      </c>
      <c r="G81" s="92">
        <v>284</v>
      </c>
      <c r="H81" s="92">
        <v>285</v>
      </c>
      <c r="I81" s="92">
        <v>284</v>
      </c>
      <c r="J81" s="51"/>
    </row>
    <row r="82" spans="1:12" s="50" customFormat="1" ht="21">
      <c r="A82" s="89" t="s">
        <v>53</v>
      </c>
      <c r="B82" s="180">
        <v>1100</v>
      </c>
      <c r="C82" s="94"/>
      <c r="D82" s="94"/>
      <c r="E82" s="94"/>
      <c r="F82" s="94"/>
      <c r="G82" s="94"/>
      <c r="H82" s="94"/>
      <c r="I82" s="94"/>
      <c r="J82" s="51"/>
      <c r="L82" s="51"/>
    </row>
    <row r="83" spans="1:10" s="50" customFormat="1" ht="11.25">
      <c r="A83" s="116" t="s">
        <v>54</v>
      </c>
      <c r="B83" s="179">
        <v>1110</v>
      </c>
      <c r="C83" s="92"/>
      <c r="D83" s="92"/>
      <c r="E83" s="92"/>
      <c r="F83" s="92"/>
      <c r="G83" s="92"/>
      <c r="H83" s="92"/>
      <c r="I83" s="92"/>
      <c r="J83" s="51"/>
    </row>
    <row r="84" spans="1:10" s="50" customFormat="1" ht="16.5" customHeight="1">
      <c r="A84" s="116" t="s">
        <v>55</v>
      </c>
      <c r="B84" s="179">
        <v>1120</v>
      </c>
      <c r="C84" s="92"/>
      <c r="D84" s="92"/>
      <c r="E84" s="92"/>
      <c r="F84" s="92"/>
      <c r="G84" s="92"/>
      <c r="H84" s="92"/>
      <c r="I84" s="92"/>
      <c r="J84" s="51"/>
    </row>
    <row r="85" spans="1:10" s="50" customFormat="1" ht="11.25">
      <c r="A85" s="116" t="s">
        <v>56</v>
      </c>
      <c r="B85" s="179">
        <v>1130</v>
      </c>
      <c r="C85" s="92"/>
      <c r="D85" s="92"/>
      <c r="E85" s="92"/>
      <c r="F85" s="92"/>
      <c r="G85" s="92"/>
      <c r="H85" s="92"/>
      <c r="I85" s="92"/>
      <c r="J85" s="51"/>
    </row>
    <row r="86" spans="1:10" s="50" customFormat="1" ht="15.75" customHeight="1">
      <c r="A86" s="116" t="s">
        <v>57</v>
      </c>
      <c r="B86" s="179">
        <v>1140</v>
      </c>
      <c r="C86" s="92"/>
      <c r="D86" s="92"/>
      <c r="E86" s="92"/>
      <c r="F86" s="92"/>
      <c r="G86" s="92"/>
      <c r="H86" s="92"/>
      <c r="I86" s="92"/>
      <c r="J86" s="51"/>
    </row>
    <row r="87" spans="1:10" s="50" customFormat="1" ht="11.25">
      <c r="A87" s="116" t="s">
        <v>168</v>
      </c>
      <c r="B87" s="179">
        <v>1150</v>
      </c>
      <c r="C87" s="92">
        <v>1693</v>
      </c>
      <c r="D87" s="92">
        <v>2836</v>
      </c>
      <c r="E87" s="92">
        <f>E88</f>
        <v>4075</v>
      </c>
      <c r="F87" s="92">
        <f>F88</f>
        <v>1019</v>
      </c>
      <c r="G87" s="92">
        <f>G88</f>
        <v>1019</v>
      </c>
      <c r="H87" s="92">
        <f>H88</f>
        <v>1018</v>
      </c>
      <c r="I87" s="92">
        <f>I88</f>
        <v>1019</v>
      </c>
      <c r="J87" s="51"/>
    </row>
    <row r="88" spans="1:10" s="50" customFormat="1" ht="14.25" customHeight="1">
      <c r="A88" s="116" t="s">
        <v>213</v>
      </c>
      <c r="B88" s="179"/>
      <c r="C88" s="92">
        <v>1693</v>
      </c>
      <c r="D88" s="92">
        <v>2836</v>
      </c>
      <c r="E88" s="92">
        <f>F88+G88+H88+I88</f>
        <v>4075</v>
      </c>
      <c r="F88" s="92">
        <v>1019</v>
      </c>
      <c r="G88" s="92">
        <v>1019</v>
      </c>
      <c r="H88" s="92">
        <v>1018</v>
      </c>
      <c r="I88" s="92">
        <v>1019</v>
      </c>
      <c r="J88" s="51"/>
    </row>
    <row r="89" spans="1:10" s="50" customFormat="1" ht="7.5" customHeight="1">
      <c r="A89" s="116"/>
      <c r="B89" s="179"/>
      <c r="C89" s="92"/>
      <c r="D89" s="92"/>
      <c r="E89" s="92"/>
      <c r="F89" s="92"/>
      <c r="G89" s="92"/>
      <c r="H89" s="92"/>
      <c r="I89" s="92"/>
      <c r="J89" s="51"/>
    </row>
    <row r="90" spans="1:11" s="50" customFormat="1" ht="11.25">
      <c r="A90" s="116" t="s">
        <v>21</v>
      </c>
      <c r="B90" s="179">
        <v>1160</v>
      </c>
      <c r="C90" s="92"/>
      <c r="D90" s="92"/>
      <c r="E90" s="92"/>
      <c r="F90" s="92"/>
      <c r="G90" s="92"/>
      <c r="H90" s="92"/>
      <c r="I90" s="92"/>
      <c r="J90" s="51"/>
      <c r="K90" s="51"/>
    </row>
    <row r="91" spans="1:10" s="50" customFormat="1" ht="24.75" customHeight="1">
      <c r="A91" s="89" t="s">
        <v>58</v>
      </c>
      <c r="B91" s="180">
        <v>1170</v>
      </c>
      <c r="C91" s="92">
        <f aca="true" t="shared" si="3" ref="C91:I91">C87+C66-C73-C20</f>
        <v>140</v>
      </c>
      <c r="D91" s="92">
        <f t="shared" si="3"/>
        <v>178</v>
      </c>
      <c r="E91" s="92">
        <f t="shared" si="3"/>
        <v>147.5</v>
      </c>
      <c r="F91" s="92">
        <f t="shared" si="3"/>
        <v>37</v>
      </c>
      <c r="G91" s="92">
        <f t="shared" si="3"/>
        <v>37</v>
      </c>
      <c r="H91" s="92">
        <f t="shared" si="3"/>
        <v>37</v>
      </c>
      <c r="I91" s="92">
        <f t="shared" si="3"/>
        <v>36.5</v>
      </c>
      <c r="J91" s="51"/>
    </row>
    <row r="92" spans="1:14" s="50" customFormat="1" ht="16.5" customHeight="1">
      <c r="A92" s="116" t="s">
        <v>59</v>
      </c>
      <c r="B92" s="87">
        <v>1180</v>
      </c>
      <c r="C92" s="92">
        <v>25</v>
      </c>
      <c r="D92" s="92">
        <v>32</v>
      </c>
      <c r="E92" s="92">
        <v>27</v>
      </c>
      <c r="F92" s="92">
        <v>7</v>
      </c>
      <c r="G92" s="92">
        <v>7</v>
      </c>
      <c r="H92" s="92">
        <v>7</v>
      </c>
      <c r="I92" s="92">
        <v>6</v>
      </c>
      <c r="J92" s="51"/>
      <c r="K92" s="51"/>
      <c r="L92" s="51"/>
      <c r="M92" s="51"/>
      <c r="N92" s="51"/>
    </row>
    <row r="93" spans="1:10" s="50" customFormat="1" ht="11.25">
      <c r="A93" s="116" t="s">
        <v>60</v>
      </c>
      <c r="B93" s="87">
        <v>1181</v>
      </c>
      <c r="C93" s="92"/>
      <c r="D93" s="92"/>
      <c r="E93" s="92"/>
      <c r="F93" s="92"/>
      <c r="G93" s="92"/>
      <c r="H93" s="92"/>
      <c r="I93" s="92"/>
      <c r="J93" s="51"/>
    </row>
    <row r="94" spans="1:10" s="50" customFormat="1" ht="12.75" customHeight="1">
      <c r="A94" s="89" t="s">
        <v>61</v>
      </c>
      <c r="B94" s="180">
        <v>1200</v>
      </c>
      <c r="C94" s="92">
        <f aca="true" t="shared" si="4" ref="C94:I94">C91-C92</f>
        <v>115</v>
      </c>
      <c r="D94" s="92">
        <f>D91-D92</f>
        <v>146</v>
      </c>
      <c r="E94" s="92">
        <f>E91-E92</f>
        <v>120.5</v>
      </c>
      <c r="F94" s="92">
        <f t="shared" si="4"/>
        <v>30</v>
      </c>
      <c r="G94" s="92">
        <f t="shared" si="4"/>
        <v>30</v>
      </c>
      <c r="H94" s="92">
        <f t="shared" si="4"/>
        <v>30</v>
      </c>
      <c r="I94" s="92">
        <f t="shared" si="4"/>
        <v>30.5</v>
      </c>
      <c r="J94" s="51"/>
    </row>
    <row r="95" spans="1:10" s="50" customFormat="1" ht="11.25">
      <c r="A95" s="116" t="s">
        <v>62</v>
      </c>
      <c r="B95" s="112">
        <v>1201</v>
      </c>
      <c r="C95" s="92"/>
      <c r="D95" s="92"/>
      <c r="E95" s="92"/>
      <c r="F95" s="92"/>
      <c r="G95" s="92"/>
      <c r="H95" s="92"/>
      <c r="I95" s="92"/>
      <c r="J95" s="51"/>
    </row>
    <row r="96" spans="1:10" s="50" customFormat="1" ht="11.25">
      <c r="A96" s="116" t="s">
        <v>63</v>
      </c>
      <c r="B96" s="112">
        <v>1202</v>
      </c>
      <c r="C96" s="92"/>
      <c r="D96" s="92"/>
      <c r="E96" s="92"/>
      <c r="F96" s="92"/>
      <c r="G96" s="92"/>
      <c r="H96" s="92"/>
      <c r="I96" s="92"/>
      <c r="J96" s="51"/>
    </row>
    <row r="97" spans="1:15" s="50" customFormat="1" ht="11.25">
      <c r="A97" s="89" t="s">
        <v>64</v>
      </c>
      <c r="B97" s="179">
        <v>1210</v>
      </c>
      <c r="C97" s="94">
        <f aca="true" t="shared" si="5" ref="C97:I97">C87+C66</f>
        <v>34503</v>
      </c>
      <c r="D97" s="94">
        <f>D87+D66</f>
        <v>40224</v>
      </c>
      <c r="E97" s="94">
        <f t="shared" si="5"/>
        <v>52939</v>
      </c>
      <c r="F97" s="94">
        <f t="shared" si="5"/>
        <v>10233.5</v>
      </c>
      <c r="G97" s="94">
        <f t="shared" si="5"/>
        <v>16235.5</v>
      </c>
      <c r="H97" s="94">
        <f t="shared" si="5"/>
        <v>16235.5</v>
      </c>
      <c r="I97" s="94">
        <f t="shared" si="5"/>
        <v>10234.5</v>
      </c>
      <c r="J97" s="51"/>
      <c r="K97" s="51"/>
      <c r="L97" s="51"/>
      <c r="M97" s="51"/>
      <c r="N97" s="51"/>
      <c r="O97" s="51"/>
    </row>
    <row r="98" spans="1:15" s="50" customFormat="1" ht="11.25">
      <c r="A98" s="89" t="s">
        <v>65</v>
      </c>
      <c r="B98" s="179">
        <v>1220</v>
      </c>
      <c r="C98" s="94">
        <f aca="true" t="shared" si="6" ref="C98:I98">C73+C20</f>
        <v>34363</v>
      </c>
      <c r="D98" s="94">
        <f>D73+D20</f>
        <v>40046</v>
      </c>
      <c r="E98" s="94">
        <f>E73+E20</f>
        <v>52791.5</v>
      </c>
      <c r="F98" s="94">
        <f t="shared" si="6"/>
        <v>10196.5</v>
      </c>
      <c r="G98" s="94">
        <f t="shared" si="6"/>
        <v>16198.5</v>
      </c>
      <c r="H98" s="94">
        <f t="shared" si="6"/>
        <v>16198.5</v>
      </c>
      <c r="I98" s="94">
        <f t="shared" si="6"/>
        <v>10198</v>
      </c>
      <c r="J98" s="51"/>
      <c r="L98" s="51"/>
      <c r="M98" s="51"/>
      <c r="N98" s="51"/>
      <c r="O98" s="51"/>
    </row>
    <row r="99" spans="1:15" s="50" customFormat="1" ht="14.25" customHeight="1">
      <c r="A99" s="225" t="s">
        <v>169</v>
      </c>
      <c r="B99" s="225"/>
      <c r="C99" s="225"/>
      <c r="D99" s="225"/>
      <c r="E99" s="225"/>
      <c r="F99" s="225"/>
      <c r="G99" s="225"/>
      <c r="H99" s="225"/>
      <c r="I99" s="225"/>
      <c r="J99" s="51"/>
      <c r="L99" s="51"/>
      <c r="M99" s="51"/>
      <c r="N99" s="51"/>
      <c r="O99" s="51"/>
    </row>
    <row r="100" spans="1:10" s="50" customFormat="1" ht="11.25">
      <c r="A100" s="194" t="s">
        <v>170</v>
      </c>
      <c r="B100" s="179">
        <v>1300</v>
      </c>
      <c r="C100" s="92">
        <f aca="true" t="shared" si="7" ref="C100:I100">C101+C102</f>
        <v>11988</v>
      </c>
      <c r="D100" s="92">
        <f t="shared" si="7"/>
        <v>14394</v>
      </c>
      <c r="E100" s="92">
        <f t="shared" si="7"/>
        <v>21512</v>
      </c>
      <c r="F100" s="92">
        <f>F101+F102</f>
        <v>2375</v>
      </c>
      <c r="G100" s="92">
        <f t="shared" si="7"/>
        <v>8387</v>
      </c>
      <c r="H100" s="92">
        <f t="shared" si="7"/>
        <v>8381</v>
      </c>
      <c r="I100" s="92">
        <f t="shared" si="7"/>
        <v>2369</v>
      </c>
      <c r="J100" s="51"/>
    </row>
    <row r="101" spans="1:12" s="50" customFormat="1" ht="22.5">
      <c r="A101" s="116" t="s">
        <v>232</v>
      </c>
      <c r="B101" s="195">
        <v>1301</v>
      </c>
      <c r="C101" s="92">
        <v>7945</v>
      </c>
      <c r="D101" s="92">
        <v>9400</v>
      </c>
      <c r="E101" s="92">
        <f>E79+E74</f>
        <v>17972</v>
      </c>
      <c r="F101" s="92">
        <f>F79+F74</f>
        <v>1490</v>
      </c>
      <c r="G101" s="92">
        <f>G79+G74</f>
        <v>7502</v>
      </c>
      <c r="H101" s="92">
        <f>H79+H74</f>
        <v>7496</v>
      </c>
      <c r="I101" s="92">
        <f>I79+I74</f>
        <v>1484</v>
      </c>
      <c r="J101" s="51"/>
      <c r="L101" s="51"/>
    </row>
    <row r="102" spans="1:15" s="50" customFormat="1" ht="11.25">
      <c r="A102" s="116" t="s">
        <v>171</v>
      </c>
      <c r="B102" s="195">
        <v>1302</v>
      </c>
      <c r="C102" s="92">
        <f>C76+C75+C53+C21</f>
        <v>4043</v>
      </c>
      <c r="D102" s="92">
        <f>D76+D75+D53+D21</f>
        <v>4994</v>
      </c>
      <c r="E102" s="92">
        <f>E76+E75+E53+E21</f>
        <v>3540</v>
      </c>
      <c r="F102" s="92">
        <f>F75+F76+F53+F21</f>
        <v>885</v>
      </c>
      <c r="G102" s="92">
        <f>G75+G76+G53+G21</f>
        <v>885</v>
      </c>
      <c r="H102" s="92">
        <f>H75+H76+H53+H21</f>
        <v>885</v>
      </c>
      <c r="I102" s="92">
        <f>I75+I76+I53+I21</f>
        <v>885</v>
      </c>
      <c r="J102" s="51"/>
      <c r="L102" s="51"/>
      <c r="M102" s="51"/>
      <c r="N102" s="51"/>
      <c r="O102" s="51"/>
    </row>
    <row r="103" spans="1:12" s="50" customFormat="1" ht="11.25">
      <c r="A103" s="116" t="s">
        <v>17</v>
      </c>
      <c r="B103" s="196">
        <v>1310</v>
      </c>
      <c r="C103" s="92">
        <f>C77+C28</f>
        <v>15152</v>
      </c>
      <c r="D103" s="92">
        <f>D77+D28</f>
        <v>17753</v>
      </c>
      <c r="E103" s="92">
        <f aca="true" t="shared" si="8" ref="E103:I104">E77+E28</f>
        <v>21247</v>
      </c>
      <c r="F103" s="92">
        <f t="shared" si="8"/>
        <v>5312</v>
      </c>
      <c r="G103" s="92">
        <f t="shared" si="8"/>
        <v>5311</v>
      </c>
      <c r="H103" s="92">
        <f t="shared" si="8"/>
        <v>5312</v>
      </c>
      <c r="I103" s="92">
        <f t="shared" si="8"/>
        <v>5312</v>
      </c>
      <c r="J103" s="51"/>
      <c r="K103" s="51"/>
      <c r="L103" s="51"/>
    </row>
    <row r="104" spans="1:12" s="50" customFormat="1" ht="11.25">
      <c r="A104" s="116" t="s">
        <v>18</v>
      </c>
      <c r="B104" s="196">
        <v>1320</v>
      </c>
      <c r="C104" s="92">
        <f>C78+C29</f>
        <v>3321</v>
      </c>
      <c r="D104" s="92">
        <f>D78+D29</f>
        <v>3905</v>
      </c>
      <c r="E104" s="92">
        <f t="shared" si="8"/>
        <v>4674</v>
      </c>
      <c r="F104" s="92">
        <f t="shared" si="8"/>
        <v>1169</v>
      </c>
      <c r="G104" s="92">
        <f t="shared" si="8"/>
        <v>1168</v>
      </c>
      <c r="H104" s="92">
        <f t="shared" si="8"/>
        <v>1168</v>
      </c>
      <c r="I104" s="92">
        <f t="shared" si="8"/>
        <v>1169</v>
      </c>
      <c r="J104" s="51"/>
      <c r="K104" s="51"/>
      <c r="L104" s="51"/>
    </row>
    <row r="105" spans="1:12" s="50" customFormat="1" ht="11.25">
      <c r="A105" s="116" t="s">
        <v>172</v>
      </c>
      <c r="B105" s="196">
        <v>1330</v>
      </c>
      <c r="C105" s="92">
        <v>2844</v>
      </c>
      <c r="D105" s="92">
        <v>2836</v>
      </c>
      <c r="E105" s="92">
        <f>E80+E30</f>
        <v>4075</v>
      </c>
      <c r="F105" s="92">
        <f>F80+F30</f>
        <v>1019</v>
      </c>
      <c r="G105" s="92">
        <f>G80+G30</f>
        <v>1019</v>
      </c>
      <c r="H105" s="92">
        <f>H80+H30</f>
        <v>1018</v>
      </c>
      <c r="I105" s="92">
        <f>I80+I30</f>
        <v>1019</v>
      </c>
      <c r="J105" s="51"/>
      <c r="K105" s="51"/>
      <c r="L105" s="51"/>
    </row>
    <row r="106" spans="1:12" s="50" customFormat="1" ht="11.25">
      <c r="A106" s="116" t="s">
        <v>173</v>
      </c>
      <c r="B106" s="196">
        <v>1340</v>
      </c>
      <c r="C106" s="100">
        <v>1058</v>
      </c>
      <c r="D106" s="100">
        <v>1158</v>
      </c>
      <c r="E106" s="92">
        <f>E81+E42-E53+5</f>
        <v>1283.5</v>
      </c>
      <c r="F106" s="92">
        <v>321</v>
      </c>
      <c r="G106" s="92">
        <v>321</v>
      </c>
      <c r="H106" s="92">
        <v>321</v>
      </c>
      <c r="I106" s="92">
        <v>321</v>
      </c>
      <c r="J106" s="51"/>
      <c r="K106" s="51"/>
      <c r="L106" s="51"/>
    </row>
    <row r="107" spans="1:10" s="50" customFormat="1" ht="11.25">
      <c r="A107" s="89" t="s">
        <v>174</v>
      </c>
      <c r="B107" s="197">
        <v>1350</v>
      </c>
      <c r="C107" s="101">
        <f aca="true" t="shared" si="9" ref="C107:I107">C100+C103+C104+C105+C106</f>
        <v>34363</v>
      </c>
      <c r="D107" s="101">
        <f t="shared" si="9"/>
        <v>40046</v>
      </c>
      <c r="E107" s="101">
        <f t="shared" si="9"/>
        <v>52791.5</v>
      </c>
      <c r="F107" s="101">
        <f>F100+F103+F104+F105+F106</f>
        <v>10196</v>
      </c>
      <c r="G107" s="101">
        <f t="shared" si="9"/>
        <v>16206</v>
      </c>
      <c r="H107" s="101">
        <f t="shared" si="9"/>
        <v>16200</v>
      </c>
      <c r="I107" s="101">
        <f t="shared" si="9"/>
        <v>10190</v>
      </c>
      <c r="J107" s="51"/>
    </row>
    <row r="108" spans="1:10" ht="15">
      <c r="A108" s="77"/>
      <c r="B108" s="77"/>
      <c r="C108" s="82"/>
      <c r="D108" s="77"/>
      <c r="E108" s="82"/>
      <c r="F108" s="77"/>
      <c r="G108" s="77"/>
      <c r="H108" s="77"/>
      <c r="I108" s="77"/>
      <c r="J108" s="175"/>
    </row>
    <row r="109" spans="1:9" ht="15">
      <c r="A109" s="226" t="s">
        <v>199</v>
      </c>
      <c r="B109" s="227"/>
      <c r="C109" s="222"/>
      <c r="D109" s="223"/>
      <c r="E109" s="223"/>
      <c r="F109" s="83"/>
      <c r="G109" s="228" t="s">
        <v>217</v>
      </c>
      <c r="H109" s="228"/>
      <c r="I109" s="228"/>
    </row>
    <row r="110" spans="1:9" ht="15">
      <c r="A110" s="77" t="s">
        <v>208</v>
      </c>
      <c r="B110" s="77"/>
      <c r="C110" s="222" t="s">
        <v>92</v>
      </c>
      <c r="D110" s="223"/>
      <c r="E110" s="223"/>
      <c r="F110" s="77"/>
      <c r="G110" s="224" t="s">
        <v>218</v>
      </c>
      <c r="H110" s="224"/>
      <c r="I110" s="224"/>
    </row>
    <row r="111" spans="1:9" ht="15">
      <c r="A111" s="77"/>
      <c r="B111" s="77"/>
      <c r="C111" s="77"/>
      <c r="D111" s="77"/>
      <c r="E111" s="77"/>
      <c r="F111" s="77"/>
      <c r="G111" s="77"/>
      <c r="H111" s="77"/>
      <c r="I111" s="77"/>
    </row>
    <row r="112" spans="1:9" ht="15.75">
      <c r="A112" s="78"/>
      <c r="B112" s="78"/>
      <c r="C112" s="78"/>
      <c r="D112" s="84"/>
      <c r="E112" s="84">
        <f>E98-E107</f>
        <v>0</v>
      </c>
      <c r="F112" s="78"/>
      <c r="G112" s="78"/>
      <c r="H112" s="78"/>
      <c r="I112" s="78"/>
    </row>
    <row r="113" spans="1:9" ht="15.75">
      <c r="A113" s="78"/>
      <c r="B113" s="78"/>
      <c r="C113" s="78"/>
      <c r="D113" s="78"/>
      <c r="E113" s="78"/>
      <c r="F113" s="78"/>
      <c r="G113" s="78"/>
      <c r="H113" s="78"/>
      <c r="I113" s="78"/>
    </row>
    <row r="116" ht="15">
      <c r="D116" s="178"/>
    </row>
    <row r="117" ht="15">
      <c r="D117" s="178"/>
    </row>
  </sheetData>
  <sheetProtection/>
  <mergeCells count="15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10:E110"/>
    <mergeCell ref="G110:I110"/>
    <mergeCell ref="A99:I99"/>
    <mergeCell ref="A109:B109"/>
    <mergeCell ref="C109:E109"/>
    <mergeCell ref="G109:I109"/>
  </mergeCells>
  <printOptions/>
  <pageMargins left="0.19" right="0.21" top="0.16" bottom="0.17" header="0.16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3"/>
  <sheetViews>
    <sheetView zoomScale="130" zoomScaleNormal="130" zoomScalePageLayoutView="0" workbookViewId="0" topLeftCell="A19">
      <selection activeCell="K38" sqref="K38"/>
    </sheetView>
  </sheetViews>
  <sheetFormatPr defaultColWidth="9.140625" defaultRowHeight="12.75"/>
  <cols>
    <col min="1" max="1" width="30.421875" style="52" customWidth="1"/>
    <col min="2" max="2" width="6.00390625" style="52" customWidth="1"/>
    <col min="3" max="5" width="9.140625" style="106" customWidth="1"/>
    <col min="6" max="9" width="7.00390625" style="106" customWidth="1"/>
    <col min="10" max="16384" width="9.140625" style="3" customWidth="1"/>
  </cols>
  <sheetData>
    <row r="1" spans="1:9" ht="14.25">
      <c r="A1" s="44"/>
      <c r="B1" s="44"/>
      <c r="C1" s="77"/>
      <c r="D1" s="77"/>
      <c r="E1" s="77"/>
      <c r="F1" s="77"/>
      <c r="G1" s="234" t="s">
        <v>156</v>
      </c>
      <c r="H1" s="234"/>
      <c r="I1" s="234"/>
    </row>
    <row r="2" spans="1:9" ht="14.25">
      <c r="A2" s="235" t="s">
        <v>66</v>
      </c>
      <c r="B2" s="235"/>
      <c r="C2" s="235"/>
      <c r="D2" s="235"/>
      <c r="E2" s="235"/>
      <c r="F2" s="235"/>
      <c r="G2" s="235"/>
      <c r="H2" s="235"/>
      <c r="I2" s="235"/>
    </row>
    <row r="3" spans="1:9" ht="7.5" customHeight="1">
      <c r="A3" s="64"/>
      <c r="B3" s="64"/>
      <c r="C3" s="163"/>
      <c r="D3" s="163"/>
      <c r="E3" s="163"/>
      <c r="F3" s="163"/>
      <c r="G3" s="163"/>
      <c r="H3" s="163"/>
      <c r="I3" s="163"/>
    </row>
    <row r="4" spans="1:9" s="122" customFormat="1" ht="11.25">
      <c r="A4" s="236" t="s">
        <v>1</v>
      </c>
      <c r="B4" s="237" t="s">
        <v>2</v>
      </c>
      <c r="C4" s="238" t="s">
        <v>3</v>
      </c>
      <c r="D4" s="238" t="s">
        <v>4</v>
      </c>
      <c r="E4" s="233" t="s">
        <v>5</v>
      </c>
      <c r="F4" s="233" t="s">
        <v>6</v>
      </c>
      <c r="G4" s="233"/>
      <c r="H4" s="233"/>
      <c r="I4" s="233"/>
    </row>
    <row r="5" spans="1:9" s="122" customFormat="1" ht="21.75" customHeight="1">
      <c r="A5" s="236"/>
      <c r="B5" s="237"/>
      <c r="C5" s="238"/>
      <c r="D5" s="238"/>
      <c r="E5" s="233"/>
      <c r="F5" s="162" t="s">
        <v>7</v>
      </c>
      <c r="G5" s="162" t="s">
        <v>8</v>
      </c>
      <c r="H5" s="162" t="s">
        <v>9</v>
      </c>
      <c r="I5" s="162" t="s">
        <v>10</v>
      </c>
    </row>
    <row r="6" spans="1:9" s="122" customFormat="1" ht="8.25" customHeight="1">
      <c r="A6" s="120">
        <v>1</v>
      </c>
      <c r="B6" s="121">
        <v>2</v>
      </c>
      <c r="C6" s="164">
        <v>3</v>
      </c>
      <c r="D6" s="164">
        <v>4</v>
      </c>
      <c r="E6" s="164">
        <v>6</v>
      </c>
      <c r="F6" s="164">
        <v>7</v>
      </c>
      <c r="G6" s="164">
        <v>8</v>
      </c>
      <c r="H6" s="164">
        <v>9</v>
      </c>
      <c r="I6" s="164">
        <v>10</v>
      </c>
    </row>
    <row r="7" spans="1:9" ht="12" customHeight="1">
      <c r="A7" s="241" t="s">
        <v>67</v>
      </c>
      <c r="B7" s="241"/>
      <c r="C7" s="241"/>
      <c r="D7" s="241"/>
      <c r="E7" s="241"/>
      <c r="F7" s="241"/>
      <c r="G7" s="241"/>
      <c r="H7" s="241"/>
      <c r="I7" s="241"/>
    </row>
    <row r="8" spans="1:10" ht="33.75">
      <c r="A8" s="111" t="s">
        <v>68</v>
      </c>
      <c r="B8" s="112">
        <v>2000</v>
      </c>
      <c r="C8" s="95">
        <v>42</v>
      </c>
      <c r="D8" s="95">
        <v>20</v>
      </c>
      <c r="E8" s="95">
        <v>83</v>
      </c>
      <c r="F8" s="95">
        <v>83</v>
      </c>
      <c r="G8" s="95">
        <v>109</v>
      </c>
      <c r="H8" s="95">
        <v>135</v>
      </c>
      <c r="I8" s="95">
        <v>162</v>
      </c>
      <c r="J8" s="34"/>
    </row>
    <row r="9" spans="1:10" ht="28.5" customHeight="1">
      <c r="A9" s="111" t="s">
        <v>69</v>
      </c>
      <c r="B9" s="112">
        <v>2010</v>
      </c>
      <c r="C9" s="95"/>
      <c r="D9" s="95"/>
      <c r="E9" s="95"/>
      <c r="F9" s="95"/>
      <c r="G9" s="95"/>
      <c r="H9" s="95"/>
      <c r="I9" s="95"/>
      <c r="J9" s="34"/>
    </row>
    <row r="10" spans="1:14" ht="10.5" customHeight="1">
      <c r="A10" s="111" t="s">
        <v>70</v>
      </c>
      <c r="B10" s="112">
        <v>2030</v>
      </c>
      <c r="C10" s="95"/>
      <c r="D10" s="95"/>
      <c r="E10" s="95"/>
      <c r="F10" s="95"/>
      <c r="G10" s="95"/>
      <c r="H10" s="95"/>
      <c r="I10" s="95"/>
      <c r="J10" s="34"/>
      <c r="K10" s="102"/>
      <c r="L10" s="102"/>
      <c r="M10" s="102"/>
      <c r="N10" s="102"/>
    </row>
    <row r="11" spans="1:10" ht="22.5">
      <c r="A11" s="111" t="s">
        <v>71</v>
      </c>
      <c r="B11" s="112">
        <v>2031</v>
      </c>
      <c r="C11" s="95"/>
      <c r="D11" s="95"/>
      <c r="E11" s="95"/>
      <c r="F11" s="95"/>
      <c r="G11" s="95"/>
      <c r="H11" s="95"/>
      <c r="I11" s="95"/>
      <c r="J11" s="34"/>
    </row>
    <row r="12" spans="1:10" ht="11.25" customHeight="1">
      <c r="A12" s="111" t="s">
        <v>72</v>
      </c>
      <c r="B12" s="112">
        <v>2040</v>
      </c>
      <c r="C12" s="95"/>
      <c r="D12" s="95"/>
      <c r="E12" s="95"/>
      <c r="F12" s="95"/>
      <c r="G12" s="95"/>
      <c r="H12" s="95"/>
      <c r="I12" s="95"/>
      <c r="J12" s="34"/>
    </row>
    <row r="13" spans="1:10" ht="12" customHeight="1">
      <c r="A13" s="111" t="s">
        <v>73</v>
      </c>
      <c r="B13" s="112">
        <v>2050</v>
      </c>
      <c r="C13" s="95"/>
      <c r="D13" s="95"/>
      <c r="E13" s="95"/>
      <c r="F13" s="95"/>
      <c r="G13" s="95"/>
      <c r="H13" s="95"/>
      <c r="I13" s="95"/>
      <c r="J13" s="34"/>
    </row>
    <row r="14" spans="1:10" ht="12.75" customHeight="1">
      <c r="A14" s="111" t="s">
        <v>74</v>
      </c>
      <c r="B14" s="112">
        <v>2060</v>
      </c>
      <c r="C14" s="95"/>
      <c r="D14" s="95"/>
      <c r="E14" s="95"/>
      <c r="F14" s="95"/>
      <c r="G14" s="95"/>
      <c r="H14" s="95"/>
      <c r="I14" s="95"/>
      <c r="J14" s="34"/>
    </row>
    <row r="15" spans="1:10" ht="33.75">
      <c r="A15" s="111" t="s">
        <v>211</v>
      </c>
      <c r="B15" s="112"/>
      <c r="C15" s="95"/>
      <c r="D15" s="95"/>
      <c r="E15" s="95"/>
      <c r="F15" s="95"/>
      <c r="G15" s="95"/>
      <c r="H15" s="95"/>
      <c r="I15" s="95"/>
      <c r="J15" s="34"/>
    </row>
    <row r="16" spans="1:11" ht="33.75">
      <c r="A16" s="111" t="s">
        <v>75</v>
      </c>
      <c r="B16" s="112">
        <v>2070</v>
      </c>
      <c r="C16" s="95">
        <v>58</v>
      </c>
      <c r="D16" s="95">
        <v>150</v>
      </c>
      <c r="E16" s="95">
        <v>186</v>
      </c>
      <c r="F16" s="95">
        <v>109</v>
      </c>
      <c r="G16" s="95">
        <v>135</v>
      </c>
      <c r="H16" s="95">
        <v>162</v>
      </c>
      <c r="I16" s="95">
        <v>186</v>
      </c>
      <c r="J16" s="34"/>
      <c r="K16" s="34"/>
    </row>
    <row r="17" spans="1:10" ht="14.25">
      <c r="A17" s="242" t="s">
        <v>76</v>
      </c>
      <c r="B17" s="242"/>
      <c r="C17" s="242"/>
      <c r="D17" s="242"/>
      <c r="E17" s="242"/>
      <c r="F17" s="242"/>
      <c r="G17" s="242"/>
      <c r="H17" s="242"/>
      <c r="I17" s="242"/>
      <c r="J17" s="34"/>
    </row>
    <row r="18" spans="1:10" ht="33" customHeight="1">
      <c r="A18" s="113" t="s">
        <v>77</v>
      </c>
      <c r="B18" s="114">
        <v>2110</v>
      </c>
      <c r="C18" s="115">
        <f aca="true" t="shared" si="0" ref="C18:I18">C24</f>
        <v>231</v>
      </c>
      <c r="D18" s="115">
        <v>266</v>
      </c>
      <c r="E18" s="115">
        <f t="shared" si="0"/>
        <v>318.705</v>
      </c>
      <c r="F18" s="115">
        <f t="shared" si="0"/>
        <v>80</v>
      </c>
      <c r="G18" s="115">
        <f t="shared" si="0"/>
        <v>79</v>
      </c>
      <c r="H18" s="115">
        <f t="shared" si="0"/>
        <v>80</v>
      </c>
      <c r="I18" s="115">
        <f t="shared" si="0"/>
        <v>80</v>
      </c>
      <c r="J18" s="34"/>
    </row>
    <row r="19" spans="1:10" ht="12.75" customHeight="1">
      <c r="A19" s="116" t="s">
        <v>78</v>
      </c>
      <c r="B19" s="112">
        <v>2111</v>
      </c>
      <c r="C19" s="95"/>
      <c r="D19" s="95"/>
      <c r="E19" s="95"/>
      <c r="F19" s="95"/>
      <c r="G19" s="95"/>
      <c r="H19" s="95"/>
      <c r="I19" s="95"/>
      <c r="J19" s="34"/>
    </row>
    <row r="20" spans="1:10" ht="22.5">
      <c r="A20" s="116" t="s">
        <v>157</v>
      </c>
      <c r="B20" s="112">
        <v>2112</v>
      </c>
      <c r="C20" s="95"/>
      <c r="D20" s="95"/>
      <c r="E20" s="95"/>
      <c r="F20" s="95"/>
      <c r="G20" s="95"/>
      <c r="H20" s="95"/>
      <c r="I20" s="95"/>
      <c r="J20" s="34"/>
    </row>
    <row r="21" spans="1:10" ht="24" customHeight="1">
      <c r="A21" s="111" t="s">
        <v>158</v>
      </c>
      <c r="B21" s="117">
        <v>2113</v>
      </c>
      <c r="C21" s="95"/>
      <c r="D21" s="95"/>
      <c r="E21" s="95"/>
      <c r="F21" s="95"/>
      <c r="G21" s="95"/>
      <c r="H21" s="95"/>
      <c r="I21" s="95"/>
      <c r="J21" s="34"/>
    </row>
    <row r="22" spans="1:10" ht="14.25">
      <c r="A22" s="111" t="s">
        <v>79</v>
      </c>
      <c r="B22" s="117">
        <v>2114</v>
      </c>
      <c r="C22" s="95"/>
      <c r="D22" s="95"/>
      <c r="E22" s="95"/>
      <c r="F22" s="95"/>
      <c r="G22" s="95"/>
      <c r="H22" s="95"/>
      <c r="I22" s="95"/>
      <c r="J22" s="34"/>
    </row>
    <row r="23" spans="1:10" ht="12.75" customHeight="1">
      <c r="A23" s="111" t="s">
        <v>80</v>
      </c>
      <c r="B23" s="117">
        <v>2115</v>
      </c>
      <c r="C23" s="95"/>
      <c r="D23" s="95"/>
      <c r="E23" s="95"/>
      <c r="F23" s="95"/>
      <c r="G23" s="95"/>
      <c r="H23" s="95"/>
      <c r="I23" s="95"/>
      <c r="J23" s="34"/>
    </row>
    <row r="24" spans="1:10" ht="14.25">
      <c r="A24" s="111" t="s">
        <v>81</v>
      </c>
      <c r="B24" s="117">
        <v>2116</v>
      </c>
      <c r="C24" s="95">
        <v>231</v>
      </c>
      <c r="D24" s="95">
        <v>266</v>
      </c>
      <c r="E24" s="95">
        <f>'І Фін результат 2021'!E103*1.5%</f>
        <v>318.705</v>
      </c>
      <c r="F24" s="95">
        <v>80</v>
      </c>
      <c r="G24" s="95">
        <v>79</v>
      </c>
      <c r="H24" s="95">
        <v>80</v>
      </c>
      <c r="I24" s="95">
        <v>80</v>
      </c>
      <c r="J24" s="34"/>
    </row>
    <row r="25" spans="1:10" ht="30" customHeight="1">
      <c r="A25" s="113" t="s">
        <v>82</v>
      </c>
      <c r="B25" s="118">
        <v>2120</v>
      </c>
      <c r="C25" s="115">
        <f>C26+C27+C28+C29</f>
        <v>2791</v>
      </c>
      <c r="D25" s="115">
        <f>D26+D27+D28+D29</f>
        <v>3249</v>
      </c>
      <c r="E25" s="115">
        <f>E26+E28+E30+E32+E31</f>
        <v>3874.46</v>
      </c>
      <c r="F25" s="115">
        <f>F26+F28+F30+F32+F31</f>
        <v>968.16</v>
      </c>
      <c r="G25" s="115">
        <f>G26+G28+G30+G32+G31</f>
        <v>968.98</v>
      </c>
      <c r="H25" s="115">
        <f>H26+H28+H30+H32+H31</f>
        <v>969.16</v>
      </c>
      <c r="I25" s="115">
        <f>I26+I28+I30+I32+I31</f>
        <v>968.16</v>
      </c>
      <c r="J25" s="34"/>
    </row>
    <row r="26" spans="1:10" ht="12" customHeight="1">
      <c r="A26" s="111" t="s">
        <v>80</v>
      </c>
      <c r="B26" s="117">
        <v>2121</v>
      </c>
      <c r="C26" s="95">
        <v>2734</v>
      </c>
      <c r="D26" s="95">
        <v>3196</v>
      </c>
      <c r="E26" s="95">
        <f>'І Фін результат 2021'!E103*18%</f>
        <v>3824.46</v>
      </c>
      <c r="F26" s="95">
        <f>'І Фін результат 2021'!F103*18%</f>
        <v>956.16</v>
      </c>
      <c r="G26" s="95">
        <f>'І Фін результат 2021'!G103*18%</f>
        <v>955.98</v>
      </c>
      <c r="H26" s="95">
        <f>'І Фін результат 2021'!H103*18%</f>
        <v>956.16</v>
      </c>
      <c r="I26" s="95">
        <f>'І Фін результат 2021'!I103*18%</f>
        <v>956.16</v>
      </c>
      <c r="J26" s="34"/>
    </row>
    <row r="27" spans="1:10" ht="10.5" customHeight="1">
      <c r="A27" s="111" t="s">
        <v>83</v>
      </c>
      <c r="B27" s="117">
        <v>2122</v>
      </c>
      <c r="C27" s="95">
        <v>2</v>
      </c>
      <c r="D27" s="95"/>
      <c r="E27" s="95"/>
      <c r="F27" s="95"/>
      <c r="G27" s="95"/>
      <c r="H27" s="95"/>
      <c r="I27" s="95"/>
      <c r="J27" s="34"/>
    </row>
    <row r="28" spans="1:10" ht="12" customHeight="1">
      <c r="A28" s="111" t="s">
        <v>84</v>
      </c>
      <c r="B28" s="117">
        <v>2123</v>
      </c>
      <c r="C28" s="95">
        <v>5</v>
      </c>
      <c r="D28" s="95">
        <v>5</v>
      </c>
      <c r="E28" s="95">
        <v>5</v>
      </c>
      <c r="F28" s="92">
        <v>1</v>
      </c>
      <c r="G28" s="92">
        <v>1</v>
      </c>
      <c r="H28" s="92">
        <v>1</v>
      </c>
      <c r="I28" s="92">
        <v>2</v>
      </c>
      <c r="J28" s="34"/>
    </row>
    <row r="29" spans="1:10" ht="12" customHeight="1">
      <c r="A29" s="111" t="s">
        <v>81</v>
      </c>
      <c r="B29" s="117">
        <v>2124</v>
      </c>
      <c r="C29" s="95">
        <v>50</v>
      </c>
      <c r="D29" s="95">
        <f aca="true" t="shared" si="1" ref="D29:I29">D30+D32</f>
        <v>48</v>
      </c>
      <c r="E29" s="95">
        <f t="shared" si="1"/>
        <v>45</v>
      </c>
      <c r="F29" s="95">
        <f t="shared" si="1"/>
        <v>11</v>
      </c>
      <c r="G29" s="95">
        <f t="shared" si="1"/>
        <v>12</v>
      </c>
      <c r="H29" s="95">
        <f t="shared" si="1"/>
        <v>12</v>
      </c>
      <c r="I29" s="95">
        <f t="shared" si="1"/>
        <v>10</v>
      </c>
      <c r="J29" s="34"/>
    </row>
    <row r="30" spans="1:10" ht="10.5" customHeight="1">
      <c r="A30" s="111" t="s">
        <v>215</v>
      </c>
      <c r="B30" s="117"/>
      <c r="C30" s="95">
        <v>33</v>
      </c>
      <c r="D30" s="95">
        <v>32</v>
      </c>
      <c r="E30" s="95">
        <v>27</v>
      </c>
      <c r="F30" s="95">
        <v>7</v>
      </c>
      <c r="G30" s="95">
        <v>7</v>
      </c>
      <c r="H30" s="95">
        <v>7</v>
      </c>
      <c r="I30" s="95">
        <v>6</v>
      </c>
      <c r="J30" s="34"/>
    </row>
    <row r="31" spans="1:10" ht="9.75" customHeight="1">
      <c r="A31" s="111" t="s">
        <v>209</v>
      </c>
      <c r="B31" s="117"/>
      <c r="C31" s="95"/>
      <c r="D31" s="95"/>
      <c r="E31" s="95"/>
      <c r="F31" s="95"/>
      <c r="G31" s="95"/>
      <c r="H31" s="95"/>
      <c r="I31" s="95"/>
      <c r="J31" s="34"/>
    </row>
    <row r="32" spans="1:10" ht="11.25" customHeight="1">
      <c r="A32" s="111" t="s">
        <v>216</v>
      </c>
      <c r="B32" s="117"/>
      <c r="C32" s="95">
        <v>17</v>
      </c>
      <c r="D32" s="92">
        <v>16</v>
      </c>
      <c r="E32" s="92">
        <v>18</v>
      </c>
      <c r="F32" s="92">
        <v>4</v>
      </c>
      <c r="G32" s="92">
        <v>5</v>
      </c>
      <c r="H32" s="92">
        <v>5</v>
      </c>
      <c r="I32" s="92">
        <v>4</v>
      </c>
      <c r="J32" s="34"/>
    </row>
    <row r="33" spans="1:10" ht="21" customHeight="1">
      <c r="A33" s="113" t="s">
        <v>85</v>
      </c>
      <c r="B33" s="118">
        <v>2130</v>
      </c>
      <c r="C33" s="115">
        <f>C35</f>
        <v>3324</v>
      </c>
      <c r="D33" s="115">
        <f aca="true" t="shared" si="2" ref="D33:I33">D35</f>
        <v>3905</v>
      </c>
      <c r="E33" s="115">
        <f t="shared" si="2"/>
        <v>4674</v>
      </c>
      <c r="F33" s="115">
        <f t="shared" si="2"/>
        <v>1169</v>
      </c>
      <c r="G33" s="115">
        <f t="shared" si="2"/>
        <v>1168</v>
      </c>
      <c r="H33" s="115">
        <f t="shared" si="2"/>
        <v>1168</v>
      </c>
      <c r="I33" s="115">
        <f t="shared" si="2"/>
        <v>1169</v>
      </c>
      <c r="J33" s="34"/>
    </row>
    <row r="34" spans="1:10" ht="10.5" customHeight="1">
      <c r="A34" s="111" t="s">
        <v>86</v>
      </c>
      <c r="B34" s="117">
        <v>2131</v>
      </c>
      <c r="C34" s="95"/>
      <c r="D34" s="95"/>
      <c r="E34" s="95"/>
      <c r="F34" s="95"/>
      <c r="G34" s="95"/>
      <c r="H34" s="95"/>
      <c r="I34" s="95"/>
      <c r="J34" s="34"/>
    </row>
    <row r="35" spans="1:10" ht="21.75" customHeight="1">
      <c r="A35" s="111" t="s">
        <v>87</v>
      </c>
      <c r="B35" s="117">
        <v>2132</v>
      </c>
      <c r="C35" s="95">
        <v>3324</v>
      </c>
      <c r="D35" s="95">
        <v>3905</v>
      </c>
      <c r="E35" s="95">
        <f>'І Фін результат 2021'!E104</f>
        <v>4674</v>
      </c>
      <c r="F35" s="95">
        <f>'І Фін результат 2021'!F104</f>
        <v>1169</v>
      </c>
      <c r="G35" s="95">
        <f>'І Фін результат 2021'!G104</f>
        <v>1168</v>
      </c>
      <c r="H35" s="95">
        <f>'І Фін результат 2021'!H104</f>
        <v>1168</v>
      </c>
      <c r="I35" s="95">
        <f>'І Фін результат 2021'!I104</f>
        <v>1169</v>
      </c>
      <c r="J35" s="34"/>
    </row>
    <row r="36" spans="1:10" ht="22.5">
      <c r="A36" s="111" t="s">
        <v>88</v>
      </c>
      <c r="B36" s="117">
        <v>2133</v>
      </c>
      <c r="C36" s="95"/>
      <c r="D36" s="95"/>
      <c r="E36" s="95"/>
      <c r="F36" s="95"/>
      <c r="G36" s="95"/>
      <c r="H36" s="95"/>
      <c r="I36" s="95"/>
      <c r="J36" s="34"/>
    </row>
    <row r="37" spans="1:9" ht="21">
      <c r="A37" s="113" t="s">
        <v>89</v>
      </c>
      <c r="B37" s="118">
        <v>2140</v>
      </c>
      <c r="C37" s="94"/>
      <c r="D37" s="94"/>
      <c r="E37" s="94"/>
      <c r="F37" s="94"/>
      <c r="G37" s="94"/>
      <c r="H37" s="94"/>
      <c r="I37" s="94"/>
    </row>
    <row r="38" spans="1:9" ht="45">
      <c r="A38" s="111" t="s">
        <v>90</v>
      </c>
      <c r="B38" s="117">
        <v>2141</v>
      </c>
      <c r="C38" s="92"/>
      <c r="D38" s="92"/>
      <c r="E38" s="92"/>
      <c r="F38" s="92"/>
      <c r="G38" s="92"/>
      <c r="H38" s="92"/>
      <c r="I38" s="92"/>
    </row>
    <row r="39" spans="1:9" ht="22.5">
      <c r="A39" s="119" t="s">
        <v>91</v>
      </c>
      <c r="B39" s="120">
        <v>2142</v>
      </c>
      <c r="C39" s="92"/>
      <c r="D39" s="92"/>
      <c r="E39" s="92"/>
      <c r="F39" s="92"/>
      <c r="G39" s="92"/>
      <c r="H39" s="92"/>
      <c r="I39" s="92"/>
    </row>
    <row r="40" spans="1:9" ht="3" customHeight="1">
      <c r="A40" s="65"/>
      <c r="B40" s="64"/>
      <c r="C40" s="165"/>
      <c r="D40" s="165"/>
      <c r="E40" s="165"/>
      <c r="F40" s="165"/>
      <c r="G40" s="165"/>
      <c r="H40" s="165"/>
      <c r="I40" s="165"/>
    </row>
    <row r="41" spans="1:9" ht="14.25">
      <c r="A41" s="245" t="s">
        <v>199</v>
      </c>
      <c r="B41" s="246"/>
      <c r="C41" s="243" t="s">
        <v>92</v>
      </c>
      <c r="D41" s="244"/>
      <c r="E41" s="244"/>
      <c r="F41" s="83"/>
      <c r="G41" s="228" t="s">
        <v>217</v>
      </c>
      <c r="H41" s="228"/>
      <c r="I41" s="228"/>
    </row>
    <row r="42" spans="1:9" ht="10.5" customHeight="1">
      <c r="A42" s="66"/>
      <c r="B42" s="55"/>
      <c r="C42" s="240"/>
      <c r="D42" s="240"/>
      <c r="E42" s="240"/>
      <c r="F42" s="172"/>
      <c r="G42" s="172"/>
      <c r="H42" s="77"/>
      <c r="I42" s="173"/>
    </row>
    <row r="43" spans="1:9" ht="14.25">
      <c r="A43" s="44" t="s">
        <v>206</v>
      </c>
      <c r="B43" s="44"/>
      <c r="C43" s="239"/>
      <c r="D43" s="239"/>
      <c r="E43" s="239"/>
      <c r="F43" s="77"/>
      <c r="G43" s="224" t="s">
        <v>218</v>
      </c>
      <c r="H43" s="224"/>
      <c r="I43" s="224"/>
    </row>
  </sheetData>
  <sheetProtection/>
  <mergeCells count="16">
    <mergeCell ref="C43:E43"/>
    <mergeCell ref="G43:I43"/>
    <mergeCell ref="C42:E42"/>
    <mergeCell ref="A7:I7"/>
    <mergeCell ref="A17:I17"/>
    <mergeCell ref="C41:E41"/>
    <mergeCell ref="G41:I41"/>
    <mergeCell ref="A41:B4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zoomScale="130" zoomScaleNormal="130" zoomScalePageLayoutView="0" workbookViewId="0" topLeftCell="A28">
      <selection activeCell="C44" sqref="C44:E44"/>
    </sheetView>
  </sheetViews>
  <sheetFormatPr defaultColWidth="9.140625" defaultRowHeight="12.75"/>
  <cols>
    <col min="1" max="1" width="29.7109375" style="53" customWidth="1"/>
    <col min="2" max="2" width="6.421875" style="53" customWidth="1"/>
    <col min="3" max="3" width="9.140625" style="108" customWidth="1"/>
    <col min="4" max="4" width="10.00390625" style="108" bestFit="1" customWidth="1"/>
    <col min="5" max="5" width="7.421875" style="108" customWidth="1"/>
    <col min="6" max="6" width="7.00390625" style="108" customWidth="1"/>
    <col min="7" max="7" width="6.7109375" style="108" customWidth="1"/>
    <col min="8" max="8" width="7.57421875" style="108" customWidth="1"/>
    <col min="9" max="9" width="7.00390625" style="108" customWidth="1"/>
    <col min="10" max="16384" width="9.140625" style="3" customWidth="1"/>
  </cols>
  <sheetData>
    <row r="1" spans="1:9" ht="14.25">
      <c r="A1" s="44"/>
      <c r="B1" s="44"/>
      <c r="C1" s="77"/>
      <c r="D1" s="77"/>
      <c r="E1" s="77"/>
      <c r="F1" s="77"/>
      <c r="G1" s="234" t="s">
        <v>159</v>
      </c>
      <c r="H1" s="234"/>
      <c r="I1" s="234"/>
    </row>
    <row r="2" spans="1:9" ht="14.25">
      <c r="A2" s="213" t="s">
        <v>160</v>
      </c>
      <c r="B2" s="213"/>
      <c r="C2" s="213"/>
      <c r="D2" s="213"/>
      <c r="E2" s="213"/>
      <c r="F2" s="213"/>
      <c r="G2" s="213"/>
      <c r="H2" s="213"/>
      <c r="I2" s="213"/>
    </row>
    <row r="3" spans="1:9" ht="6" customHeight="1">
      <c r="A3" s="68"/>
      <c r="B3" s="68"/>
      <c r="C3" s="104"/>
      <c r="D3" s="104"/>
      <c r="E3" s="104"/>
      <c r="F3" s="104"/>
      <c r="G3" s="104"/>
      <c r="H3" s="104"/>
      <c r="I3" s="104"/>
    </row>
    <row r="4" spans="1:9" s="50" customFormat="1" ht="13.5" customHeight="1">
      <c r="A4" s="200" t="s">
        <v>1</v>
      </c>
      <c r="B4" s="202" t="s">
        <v>93</v>
      </c>
      <c r="C4" s="208" t="s">
        <v>3</v>
      </c>
      <c r="D4" s="208" t="s">
        <v>94</v>
      </c>
      <c r="E4" s="214" t="s">
        <v>5</v>
      </c>
      <c r="F4" s="214" t="s">
        <v>6</v>
      </c>
      <c r="G4" s="214"/>
      <c r="H4" s="214"/>
      <c r="I4" s="214"/>
    </row>
    <row r="5" spans="1:9" s="50" customFormat="1" ht="12" customHeight="1">
      <c r="A5" s="201"/>
      <c r="B5" s="202"/>
      <c r="C5" s="208"/>
      <c r="D5" s="208"/>
      <c r="E5" s="214"/>
      <c r="F5" s="199" t="s">
        <v>7</v>
      </c>
      <c r="G5" s="199" t="s">
        <v>8</v>
      </c>
      <c r="H5" s="199" t="s">
        <v>9</v>
      </c>
      <c r="I5" s="199" t="s">
        <v>10</v>
      </c>
    </row>
    <row r="6" spans="1:9" s="122" customFormat="1" ht="11.25">
      <c r="A6" s="86">
        <v>1</v>
      </c>
      <c r="B6" s="123">
        <v>2</v>
      </c>
      <c r="C6" s="162">
        <v>3</v>
      </c>
      <c r="D6" s="162">
        <v>4</v>
      </c>
      <c r="E6" s="162">
        <v>6</v>
      </c>
      <c r="F6" s="162">
        <v>7</v>
      </c>
      <c r="G6" s="162">
        <v>8</v>
      </c>
      <c r="H6" s="162">
        <v>9</v>
      </c>
      <c r="I6" s="162">
        <v>10</v>
      </c>
    </row>
    <row r="7" spans="1:9" s="122" customFormat="1" ht="13.5" customHeight="1">
      <c r="A7" s="209" t="s">
        <v>95</v>
      </c>
      <c r="B7" s="210"/>
      <c r="C7" s="210"/>
      <c r="D7" s="210"/>
      <c r="E7" s="210"/>
      <c r="F7" s="210"/>
      <c r="G7" s="210"/>
      <c r="H7" s="210"/>
      <c r="I7" s="211"/>
    </row>
    <row r="8" spans="1:11" s="122" customFormat="1" ht="21">
      <c r="A8" s="124" t="s">
        <v>96</v>
      </c>
      <c r="B8" s="125">
        <v>3000</v>
      </c>
      <c r="C8" s="126">
        <f aca="true" t="shared" si="0" ref="C8:I8">C12+C15</f>
        <v>35764</v>
      </c>
      <c r="D8" s="94">
        <f t="shared" si="0"/>
        <v>41379</v>
      </c>
      <c r="E8" s="94">
        <f t="shared" si="0"/>
        <v>50855</v>
      </c>
      <c r="F8" s="94">
        <f t="shared" si="0"/>
        <v>9229</v>
      </c>
      <c r="G8" s="94">
        <f t="shared" si="0"/>
        <v>17165</v>
      </c>
      <c r="H8" s="94">
        <f t="shared" si="0"/>
        <v>15231</v>
      </c>
      <c r="I8" s="94">
        <f t="shared" si="0"/>
        <v>9230</v>
      </c>
      <c r="K8" s="127"/>
    </row>
    <row r="9" spans="1:11" s="122" customFormat="1" ht="21.75" customHeight="1">
      <c r="A9" s="96" t="s">
        <v>97</v>
      </c>
      <c r="B9" s="97">
        <v>3010</v>
      </c>
      <c r="C9" s="92"/>
      <c r="D9" s="92"/>
      <c r="E9" s="92"/>
      <c r="F9" s="92"/>
      <c r="G9" s="92"/>
      <c r="H9" s="92"/>
      <c r="I9" s="92"/>
      <c r="K9" s="127"/>
    </row>
    <row r="10" spans="1:11" s="122" customFormat="1" ht="13.5" customHeight="1">
      <c r="A10" s="96" t="s">
        <v>98</v>
      </c>
      <c r="B10" s="97">
        <v>3020</v>
      </c>
      <c r="C10" s="92"/>
      <c r="D10" s="92"/>
      <c r="E10" s="92"/>
      <c r="F10" s="92"/>
      <c r="G10" s="92"/>
      <c r="H10" s="92"/>
      <c r="I10" s="92"/>
      <c r="K10" s="127"/>
    </row>
    <row r="11" spans="1:11" s="122" customFormat="1" ht="13.5" customHeight="1">
      <c r="A11" s="96" t="s">
        <v>99</v>
      </c>
      <c r="B11" s="97">
        <v>3021</v>
      </c>
      <c r="C11" s="92"/>
      <c r="D11" s="92"/>
      <c r="E11" s="92"/>
      <c r="F11" s="92"/>
      <c r="G11" s="92"/>
      <c r="H11" s="92"/>
      <c r="I11" s="92"/>
      <c r="K11" s="127"/>
    </row>
    <row r="12" spans="1:12" s="122" customFormat="1" ht="12.75">
      <c r="A12" s="96" t="s">
        <v>100</v>
      </c>
      <c r="B12" s="97">
        <v>3030</v>
      </c>
      <c r="C12" s="158">
        <v>34493</v>
      </c>
      <c r="D12" s="92">
        <v>40507</v>
      </c>
      <c r="E12" s="92">
        <f>48337+1934</f>
        <v>50271</v>
      </c>
      <c r="F12" s="92">
        <f>12084-3000</f>
        <v>9084</v>
      </c>
      <c r="G12" s="92">
        <f>12084+3000+1934</f>
        <v>17018</v>
      </c>
      <c r="H12" s="92">
        <f>12084+3000</f>
        <v>15084</v>
      </c>
      <c r="I12" s="92">
        <f>12085-3000</f>
        <v>9085</v>
      </c>
      <c r="K12" s="127">
        <f>E12-F12-G12-H12-I12</f>
        <v>0</v>
      </c>
      <c r="L12" s="127"/>
    </row>
    <row r="13" spans="1:11" s="122" customFormat="1" ht="22.5">
      <c r="A13" s="96" t="s">
        <v>101</v>
      </c>
      <c r="B13" s="97">
        <v>3040</v>
      </c>
      <c r="C13" s="158"/>
      <c r="D13" s="92"/>
      <c r="E13" s="92"/>
      <c r="F13" s="92"/>
      <c r="G13" s="92"/>
      <c r="H13" s="92"/>
      <c r="I13" s="92"/>
      <c r="K13" s="127"/>
    </row>
    <row r="14" spans="1:11" s="122" customFormat="1" ht="22.5">
      <c r="A14" s="96" t="s">
        <v>161</v>
      </c>
      <c r="B14" s="97">
        <v>3050</v>
      </c>
      <c r="C14" s="158"/>
      <c r="D14" s="92"/>
      <c r="E14" s="92"/>
      <c r="F14" s="92"/>
      <c r="G14" s="92"/>
      <c r="H14" s="92"/>
      <c r="I14" s="92"/>
      <c r="K14" s="127"/>
    </row>
    <row r="15" spans="1:11" s="122" customFormat="1" ht="33.75">
      <c r="A15" s="96" t="s">
        <v>230</v>
      </c>
      <c r="B15" s="97">
        <v>3060</v>
      </c>
      <c r="C15" s="158">
        <v>1271</v>
      </c>
      <c r="D15" s="92">
        <v>872</v>
      </c>
      <c r="E15" s="92">
        <v>584</v>
      </c>
      <c r="F15" s="198">
        <f>131+14</f>
        <v>145</v>
      </c>
      <c r="G15" s="198">
        <f>133+14</f>
        <v>147</v>
      </c>
      <c r="H15" s="198">
        <f>133+14</f>
        <v>147</v>
      </c>
      <c r="I15" s="198">
        <f>131+14</f>
        <v>145</v>
      </c>
      <c r="J15" s="127"/>
      <c r="K15" s="127"/>
    </row>
    <row r="16" spans="1:15" s="122" customFormat="1" ht="21">
      <c r="A16" s="89" t="s">
        <v>102</v>
      </c>
      <c r="B16" s="99">
        <v>3100</v>
      </c>
      <c r="C16" s="94">
        <f>C17+C18+C20+C28</f>
        <v>35711</v>
      </c>
      <c r="D16" s="94">
        <f aca="true" t="shared" si="1" ref="D16:I16">D17+D18+D20</f>
        <v>41099</v>
      </c>
      <c r="E16" s="94">
        <f t="shared" si="1"/>
        <v>50752</v>
      </c>
      <c r="F16" s="94">
        <f t="shared" si="1"/>
        <v>9203</v>
      </c>
      <c r="G16" s="94">
        <f t="shared" si="1"/>
        <v>17140</v>
      </c>
      <c r="H16" s="94">
        <f t="shared" si="1"/>
        <v>15206</v>
      </c>
      <c r="I16" s="94">
        <f t="shared" si="1"/>
        <v>9203</v>
      </c>
      <c r="K16" s="127"/>
      <c r="M16" s="127"/>
      <c r="O16" s="127"/>
    </row>
    <row r="17" spans="1:15" s="122" customFormat="1" ht="22.5">
      <c r="A17" s="96" t="s">
        <v>103</v>
      </c>
      <c r="B17" s="97">
        <v>3110</v>
      </c>
      <c r="C17" s="92">
        <v>16824</v>
      </c>
      <c r="D17" s="92">
        <f>19673-280</f>
        <v>19393</v>
      </c>
      <c r="E17" s="92">
        <f>F17+G17+H17+I17</f>
        <v>24786</v>
      </c>
      <c r="F17" s="92">
        <f>2747-36</f>
        <v>2711</v>
      </c>
      <c r="G17" s="92">
        <f>10685-36</f>
        <v>10649</v>
      </c>
      <c r="H17" s="92">
        <f>8749-35</f>
        <v>8714</v>
      </c>
      <c r="I17" s="92">
        <f>2748-36</f>
        <v>2712</v>
      </c>
      <c r="K17" s="127"/>
      <c r="L17" s="127"/>
      <c r="M17" s="127"/>
      <c r="N17" s="127"/>
      <c r="O17" s="127"/>
    </row>
    <row r="18" spans="1:11" s="122" customFormat="1" ht="22.5">
      <c r="A18" s="96" t="s">
        <v>210</v>
      </c>
      <c r="B18" s="97">
        <v>3120</v>
      </c>
      <c r="C18" s="92">
        <v>18813</v>
      </c>
      <c r="D18" s="92">
        <v>21658</v>
      </c>
      <c r="E18" s="92">
        <f>'І Фін результат 2021'!E103+'І Фін результат 2021'!E104</f>
        <v>25921</v>
      </c>
      <c r="F18" s="92">
        <f>'І Фін результат 2021'!F103+'І Фін результат 2021'!F104</f>
        <v>6481</v>
      </c>
      <c r="G18" s="92">
        <f>'І Фін результат 2021'!G103+'І Фін результат 2021'!G104</f>
        <v>6479</v>
      </c>
      <c r="H18" s="92">
        <f>'І Фін результат 2021'!H103+'І Фін результат 2021'!H104</f>
        <v>6480</v>
      </c>
      <c r="I18" s="92">
        <f>'І Фін результат 2021'!I103+'І Фін результат 2021'!I104</f>
        <v>6481</v>
      </c>
      <c r="K18" s="127"/>
    </row>
    <row r="19" spans="1:12" s="122" customFormat="1" ht="22.5">
      <c r="A19" s="96" t="s">
        <v>162</v>
      </c>
      <c r="B19" s="97">
        <v>3130</v>
      </c>
      <c r="C19" s="92"/>
      <c r="D19" s="92"/>
      <c r="E19" s="92"/>
      <c r="F19" s="92"/>
      <c r="G19" s="92"/>
      <c r="H19" s="92"/>
      <c r="I19" s="92"/>
      <c r="K19" s="127"/>
      <c r="L19" s="127"/>
    </row>
    <row r="20" spans="1:11" s="122" customFormat="1" ht="22.5">
      <c r="A20" s="90" t="s">
        <v>104</v>
      </c>
      <c r="B20" s="91">
        <v>3140</v>
      </c>
      <c r="C20" s="92">
        <v>50</v>
      </c>
      <c r="D20" s="92">
        <v>48</v>
      </c>
      <c r="E20" s="92">
        <f>E21+E24</f>
        <v>45</v>
      </c>
      <c r="F20" s="92">
        <f>F21+F24</f>
        <v>11</v>
      </c>
      <c r="G20" s="92">
        <f>G21+G24</f>
        <v>12</v>
      </c>
      <c r="H20" s="92">
        <f>H21+H24</f>
        <v>12</v>
      </c>
      <c r="I20" s="92">
        <f>I21+I24</f>
        <v>10</v>
      </c>
      <c r="K20" s="127"/>
    </row>
    <row r="21" spans="1:11" s="122" customFormat="1" ht="15" customHeight="1">
      <c r="A21" s="90" t="s">
        <v>119</v>
      </c>
      <c r="B21" s="85">
        <v>3141</v>
      </c>
      <c r="C21" s="92">
        <v>33</v>
      </c>
      <c r="D21" s="92">
        <v>32</v>
      </c>
      <c r="E21" s="92">
        <f>'ІІ Розр з бюджетом 2021'!E30</f>
        <v>27</v>
      </c>
      <c r="F21" s="92">
        <f>'ІІ Розр з бюджетом 2021'!F30</f>
        <v>7</v>
      </c>
      <c r="G21" s="92">
        <f>'ІІ Розр з бюджетом 2021'!G30</f>
        <v>7</v>
      </c>
      <c r="H21" s="92">
        <f>'ІІ Розр з бюджетом 2021'!H30</f>
        <v>7</v>
      </c>
      <c r="I21" s="92">
        <f>'ІІ Розр з бюджетом 2021'!I30</f>
        <v>6</v>
      </c>
      <c r="K21" s="127"/>
    </row>
    <row r="22" spans="1:11" s="122" customFormat="1" ht="11.25">
      <c r="A22" s="90" t="s">
        <v>105</v>
      </c>
      <c r="B22" s="85">
        <v>3142</v>
      </c>
      <c r="C22" s="92"/>
      <c r="D22" s="92"/>
      <c r="E22" s="92"/>
      <c r="F22" s="92"/>
      <c r="G22" s="92"/>
      <c r="H22" s="92"/>
      <c r="I22" s="92"/>
      <c r="K22" s="127"/>
    </row>
    <row r="23" spans="1:11" s="122" customFormat="1" ht="11.25">
      <c r="A23" s="90" t="s">
        <v>80</v>
      </c>
      <c r="B23" s="85">
        <v>3143</v>
      </c>
      <c r="C23" s="92"/>
      <c r="D23" s="92"/>
      <c r="E23" s="92"/>
      <c r="F23" s="92"/>
      <c r="G23" s="92"/>
      <c r="H23" s="92"/>
      <c r="I23" s="92"/>
      <c r="K23" s="127"/>
    </row>
    <row r="24" spans="1:11" s="122" customFormat="1" ht="17.25" customHeight="1">
      <c r="A24" s="90" t="s">
        <v>106</v>
      </c>
      <c r="B24" s="85">
        <v>3144</v>
      </c>
      <c r="C24" s="92">
        <v>17</v>
      </c>
      <c r="D24" s="92">
        <v>16</v>
      </c>
      <c r="E24" s="92">
        <f>E25</f>
        <v>18</v>
      </c>
      <c r="F24" s="92">
        <f>F25</f>
        <v>4</v>
      </c>
      <c r="G24" s="92">
        <f>G25</f>
        <v>5</v>
      </c>
      <c r="H24" s="92">
        <f>H25</f>
        <v>5</v>
      </c>
      <c r="I24" s="92">
        <f>I25</f>
        <v>4</v>
      </c>
      <c r="K24" s="127"/>
    </row>
    <row r="25" spans="1:11" s="122" customFormat="1" ht="25.5" customHeight="1">
      <c r="A25" s="90" t="s">
        <v>163</v>
      </c>
      <c r="B25" s="85" t="s">
        <v>175</v>
      </c>
      <c r="C25" s="92">
        <v>17</v>
      </c>
      <c r="D25" s="92">
        <v>16</v>
      </c>
      <c r="E25" s="92">
        <f>'ІІ Розр з бюджетом 2021'!E32</f>
        <v>18</v>
      </c>
      <c r="F25" s="92">
        <f>'ІІ Розр з бюджетом 2021'!F32</f>
        <v>4</v>
      </c>
      <c r="G25" s="92">
        <f>'ІІ Розр з бюджетом 2021'!G32</f>
        <v>5</v>
      </c>
      <c r="H25" s="92">
        <f>'ІІ Розр з бюджетом 2021'!H32</f>
        <v>5</v>
      </c>
      <c r="I25" s="92">
        <f>'ІІ Розр з бюджетом 2021'!I32</f>
        <v>4</v>
      </c>
      <c r="K25" s="127"/>
    </row>
    <row r="26" spans="1:11" s="122" customFormat="1" ht="11.25">
      <c r="A26" s="90" t="s">
        <v>107</v>
      </c>
      <c r="B26" s="85">
        <v>3150</v>
      </c>
      <c r="C26" s="92"/>
      <c r="D26" s="92"/>
      <c r="E26" s="92"/>
      <c r="F26" s="92"/>
      <c r="G26" s="92"/>
      <c r="H26" s="92"/>
      <c r="I26" s="92"/>
      <c r="K26" s="127"/>
    </row>
    <row r="27" spans="1:11" s="122" customFormat="1" ht="11.25">
      <c r="A27" s="90" t="s">
        <v>108</v>
      </c>
      <c r="B27" s="91">
        <v>3160</v>
      </c>
      <c r="C27" s="92"/>
      <c r="D27" s="92"/>
      <c r="E27" s="92"/>
      <c r="F27" s="92"/>
      <c r="G27" s="92"/>
      <c r="H27" s="92"/>
      <c r="I27" s="92"/>
      <c r="K27" s="127"/>
    </row>
    <row r="28" spans="1:11" s="122" customFormat="1" ht="11.25">
      <c r="A28" s="90" t="s">
        <v>21</v>
      </c>
      <c r="B28" s="91">
        <v>3170</v>
      </c>
      <c r="C28" s="92">
        <v>24</v>
      </c>
      <c r="D28" s="92"/>
      <c r="E28" s="92"/>
      <c r="F28" s="92"/>
      <c r="G28" s="92"/>
      <c r="H28" s="92"/>
      <c r="I28" s="92"/>
      <c r="K28" s="127"/>
    </row>
    <row r="29" spans="1:11" s="122" customFormat="1" ht="21">
      <c r="A29" s="88" t="s">
        <v>109</v>
      </c>
      <c r="B29" s="93">
        <v>3195</v>
      </c>
      <c r="C29" s="94"/>
      <c r="D29" s="94"/>
      <c r="E29" s="94"/>
      <c r="F29" s="94"/>
      <c r="G29" s="94"/>
      <c r="H29" s="94"/>
      <c r="I29" s="94"/>
      <c r="K29" s="127"/>
    </row>
    <row r="30" spans="1:11" s="122" customFormat="1" ht="12.75" customHeight="1">
      <c r="A30" s="209" t="s">
        <v>110</v>
      </c>
      <c r="B30" s="210"/>
      <c r="C30" s="210"/>
      <c r="D30" s="210"/>
      <c r="E30" s="210"/>
      <c r="F30" s="210"/>
      <c r="G30" s="210"/>
      <c r="H30" s="210"/>
      <c r="I30" s="211"/>
      <c r="K30" s="127"/>
    </row>
    <row r="31" spans="1:11" s="122" customFormat="1" ht="22.5" customHeight="1">
      <c r="A31" s="128" t="s">
        <v>111</v>
      </c>
      <c r="B31" s="129">
        <v>3200</v>
      </c>
      <c r="C31" s="94"/>
      <c r="D31" s="94"/>
      <c r="E31" s="94"/>
      <c r="F31" s="94"/>
      <c r="G31" s="94"/>
      <c r="H31" s="94"/>
      <c r="I31" s="94"/>
      <c r="K31" s="127"/>
    </row>
    <row r="32" spans="1:11" s="122" customFormat="1" ht="13.5" customHeight="1">
      <c r="A32" s="90" t="s">
        <v>112</v>
      </c>
      <c r="B32" s="85">
        <v>3210</v>
      </c>
      <c r="C32" s="92"/>
      <c r="D32" s="92"/>
      <c r="E32" s="92"/>
      <c r="F32" s="92"/>
      <c r="G32" s="92"/>
      <c r="H32" s="92"/>
      <c r="I32" s="92"/>
      <c r="K32" s="127"/>
    </row>
    <row r="33" spans="1:11" s="122" customFormat="1" ht="14.25" customHeight="1">
      <c r="A33" s="90" t="s">
        <v>113</v>
      </c>
      <c r="B33" s="91">
        <v>3220</v>
      </c>
      <c r="C33" s="92"/>
      <c r="D33" s="92"/>
      <c r="E33" s="92"/>
      <c r="F33" s="92"/>
      <c r="G33" s="92"/>
      <c r="H33" s="92"/>
      <c r="I33" s="92"/>
      <c r="K33" s="127"/>
    </row>
    <row r="34" spans="1:11" s="122" customFormat="1" ht="13.5" customHeight="1">
      <c r="A34" s="90" t="s">
        <v>221</v>
      </c>
      <c r="B34" s="91">
        <v>3230</v>
      </c>
      <c r="C34" s="92"/>
      <c r="D34" s="92"/>
      <c r="E34" s="92"/>
      <c r="F34" s="92"/>
      <c r="G34" s="92"/>
      <c r="H34" s="92"/>
      <c r="I34" s="92"/>
      <c r="K34" s="127"/>
    </row>
    <row r="35" spans="1:11" s="122" customFormat="1" ht="21">
      <c r="A35" s="88" t="s">
        <v>114</v>
      </c>
      <c r="B35" s="93">
        <v>3255</v>
      </c>
      <c r="C35" s="94"/>
      <c r="D35" s="94"/>
      <c r="E35" s="94"/>
      <c r="F35" s="94"/>
      <c r="G35" s="94"/>
      <c r="H35" s="94"/>
      <c r="I35" s="94"/>
      <c r="K35" s="127"/>
    </row>
    <row r="36" spans="1:11" s="122" customFormat="1" ht="24" customHeight="1">
      <c r="A36" s="90" t="s">
        <v>222</v>
      </c>
      <c r="B36" s="91">
        <v>3260</v>
      </c>
      <c r="C36" s="92"/>
      <c r="D36" s="92"/>
      <c r="E36" s="92"/>
      <c r="F36" s="92"/>
      <c r="G36" s="92"/>
      <c r="H36" s="92"/>
      <c r="I36" s="92"/>
      <c r="K36" s="127"/>
    </row>
    <row r="37" spans="1:11" s="122" customFormat="1" ht="11.25">
      <c r="A37" s="90" t="s">
        <v>223</v>
      </c>
      <c r="B37" s="91">
        <v>3265</v>
      </c>
      <c r="C37" s="92"/>
      <c r="D37" s="92"/>
      <c r="E37" s="92"/>
      <c r="F37" s="92"/>
      <c r="G37" s="92"/>
      <c r="H37" s="92"/>
      <c r="I37" s="92"/>
      <c r="K37" s="127"/>
    </row>
    <row r="38" spans="1:11" s="122" customFormat="1" ht="22.5">
      <c r="A38" s="90" t="s">
        <v>224</v>
      </c>
      <c r="B38" s="91">
        <v>3270</v>
      </c>
      <c r="C38" s="92"/>
      <c r="D38" s="92"/>
      <c r="E38" s="92"/>
      <c r="F38" s="92"/>
      <c r="G38" s="92"/>
      <c r="H38" s="92"/>
      <c r="I38" s="92"/>
      <c r="K38" s="127"/>
    </row>
    <row r="39" spans="1:11" s="122" customFormat="1" ht="11.25">
      <c r="A39" s="90" t="s">
        <v>21</v>
      </c>
      <c r="B39" s="91">
        <v>3280</v>
      </c>
      <c r="C39" s="92"/>
      <c r="D39" s="92"/>
      <c r="E39" s="92"/>
      <c r="F39" s="92"/>
      <c r="G39" s="92"/>
      <c r="H39" s="92"/>
      <c r="I39" s="92"/>
      <c r="K39" s="127"/>
    </row>
    <row r="40" spans="1:11" s="122" customFormat="1" ht="21">
      <c r="A40" s="130" t="s">
        <v>115</v>
      </c>
      <c r="B40" s="131">
        <v>3295</v>
      </c>
      <c r="C40" s="94"/>
      <c r="D40" s="94"/>
      <c r="E40" s="94"/>
      <c r="F40" s="94"/>
      <c r="G40" s="94"/>
      <c r="H40" s="94"/>
      <c r="I40" s="94"/>
      <c r="K40" s="127"/>
    </row>
    <row r="41" spans="1:11" s="122" customFormat="1" ht="11.25">
      <c r="A41" s="88" t="s">
        <v>116</v>
      </c>
      <c r="B41" s="93">
        <v>3400</v>
      </c>
      <c r="C41" s="94">
        <v>53</v>
      </c>
      <c r="D41" s="94">
        <f>D43-D42</f>
        <v>178</v>
      </c>
      <c r="E41" s="94">
        <f>E43-E42</f>
        <v>103</v>
      </c>
      <c r="F41" s="94"/>
      <c r="G41" s="94"/>
      <c r="H41" s="94"/>
      <c r="I41" s="94"/>
      <c r="K41" s="127"/>
    </row>
    <row r="42" spans="1:11" s="122" customFormat="1" ht="12" customHeight="1">
      <c r="A42" s="90" t="s">
        <v>117</v>
      </c>
      <c r="B42" s="91">
        <v>3405</v>
      </c>
      <c r="C42" s="92">
        <v>37</v>
      </c>
      <c r="D42" s="92">
        <v>102</v>
      </c>
      <c r="E42" s="92">
        <v>83</v>
      </c>
      <c r="F42" s="92"/>
      <c r="G42" s="92"/>
      <c r="H42" s="92"/>
      <c r="I42" s="92"/>
      <c r="K42" s="127"/>
    </row>
    <row r="43" spans="1:11" s="122" customFormat="1" ht="12.75" customHeight="1">
      <c r="A43" s="90" t="s">
        <v>118</v>
      </c>
      <c r="B43" s="91">
        <v>3415</v>
      </c>
      <c r="C43" s="92">
        <v>90</v>
      </c>
      <c r="D43" s="92">
        <v>280</v>
      </c>
      <c r="E43" s="92">
        <v>186</v>
      </c>
      <c r="F43" s="92"/>
      <c r="G43" s="92"/>
      <c r="H43" s="92"/>
      <c r="I43" s="92"/>
      <c r="K43" s="127"/>
    </row>
    <row r="44" spans="1:24" s="48" customFormat="1" ht="21" customHeight="1">
      <c r="A44" s="245" t="s">
        <v>199</v>
      </c>
      <c r="B44" s="246"/>
      <c r="C44" s="212"/>
      <c r="D44" s="212"/>
      <c r="E44" s="212"/>
      <c r="F44" s="83"/>
      <c r="G44" s="228" t="s">
        <v>217</v>
      </c>
      <c r="H44" s="228"/>
      <c r="I44" s="228"/>
      <c r="P44" s="46"/>
      <c r="Q44" s="4"/>
      <c r="R44" s="29"/>
      <c r="S44" s="29"/>
      <c r="T44" s="29"/>
      <c r="U44" s="5"/>
      <c r="V44" s="6"/>
      <c r="W44" s="6"/>
      <c r="X44" s="6"/>
    </row>
    <row r="45" spans="1:11" s="48" customFormat="1" ht="14.25">
      <c r="A45" s="73" t="s">
        <v>206</v>
      </c>
      <c r="B45" s="73"/>
      <c r="C45" s="105"/>
      <c r="D45" s="105"/>
      <c r="E45" s="77"/>
      <c r="F45" s="77"/>
      <c r="G45" s="224" t="s">
        <v>218</v>
      </c>
      <c r="H45" s="224"/>
      <c r="I45" s="224"/>
      <c r="K45" s="103"/>
    </row>
    <row r="46" spans="1:9" s="48" customFormat="1" ht="14.25">
      <c r="A46" s="74"/>
      <c r="B46" s="74"/>
      <c r="C46" s="106"/>
      <c r="D46" s="106"/>
      <c r="E46" s="107"/>
      <c r="F46" s="106"/>
      <c r="G46" s="106"/>
      <c r="H46" s="106"/>
      <c r="I46" s="106"/>
    </row>
    <row r="47" spans="1:2" ht="14.25">
      <c r="A47" s="54"/>
      <c r="B47" s="54"/>
    </row>
    <row r="48" spans="1:3" ht="14.25">
      <c r="A48" s="54"/>
      <c r="B48" s="54"/>
      <c r="C48" s="109"/>
    </row>
    <row r="49" spans="1:4" ht="14.25">
      <c r="A49" s="54"/>
      <c r="B49" s="54"/>
      <c r="D49" s="110"/>
    </row>
    <row r="50" spans="1:2" ht="14.25">
      <c r="A50" s="54"/>
      <c r="B50" s="54"/>
    </row>
    <row r="51" spans="1:2" ht="14.25">
      <c r="A51" s="54"/>
      <c r="B51" s="54"/>
    </row>
    <row r="52" spans="1:2" ht="14.25">
      <c r="A52" s="54"/>
      <c r="B52" s="54"/>
    </row>
    <row r="53" spans="1:2" ht="14.25">
      <c r="A53" s="54"/>
      <c r="B53" s="54"/>
    </row>
    <row r="54" spans="1:2" ht="14.25">
      <c r="A54" s="54"/>
      <c r="B54" s="54"/>
    </row>
    <row r="55" spans="1:2" ht="14.25">
      <c r="A55" s="54"/>
      <c r="B55" s="54"/>
    </row>
  </sheetData>
  <sheetProtection/>
  <mergeCells count="14">
    <mergeCell ref="G45:I45"/>
    <mergeCell ref="A2:I2"/>
    <mergeCell ref="E4:E5"/>
    <mergeCell ref="F4:I4"/>
    <mergeCell ref="A4:A5"/>
    <mergeCell ref="B4:B5"/>
    <mergeCell ref="G1:I1"/>
    <mergeCell ref="C44:E44"/>
    <mergeCell ref="G44:I44"/>
    <mergeCell ref="A44:B44"/>
    <mergeCell ref="C4:C5"/>
    <mergeCell ref="D4:D5"/>
    <mergeCell ref="A7:I7"/>
    <mergeCell ref="A30:I3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L12" sqref="L12"/>
    </sheetView>
  </sheetViews>
  <sheetFormatPr defaultColWidth="9.140625" defaultRowHeight="12.75"/>
  <cols>
    <col min="1" max="1" width="28.421875" style="3" customWidth="1"/>
    <col min="2" max="2" width="5.57421875" style="3" customWidth="1"/>
    <col min="3" max="3" width="7.7109375" style="168" customWidth="1"/>
    <col min="4" max="4" width="9.140625" style="168" customWidth="1"/>
    <col min="5" max="5" width="11.00390625" style="168" bestFit="1" customWidth="1"/>
    <col min="6" max="6" width="6.57421875" style="3" customWidth="1"/>
    <col min="7" max="7" width="7.8515625" style="3" customWidth="1"/>
    <col min="8" max="9" width="6.57421875" style="3" customWidth="1"/>
    <col min="10" max="16384" width="9.140625" style="3" customWidth="1"/>
  </cols>
  <sheetData>
    <row r="1" spans="1:9" ht="14.25">
      <c r="A1" s="44"/>
      <c r="B1" s="44"/>
      <c r="C1" s="77"/>
      <c r="D1" s="77"/>
      <c r="E1" s="77"/>
      <c r="F1" s="44"/>
      <c r="G1" s="206" t="s">
        <v>165</v>
      </c>
      <c r="H1" s="206"/>
      <c r="I1" s="206"/>
    </row>
    <row r="2" spans="1:9" ht="14.25">
      <c r="A2" s="213" t="s">
        <v>121</v>
      </c>
      <c r="B2" s="213"/>
      <c r="C2" s="213"/>
      <c r="D2" s="213"/>
      <c r="E2" s="213"/>
      <c r="F2" s="213"/>
      <c r="G2" s="213"/>
      <c r="H2" s="213"/>
      <c r="I2" s="213"/>
    </row>
    <row r="3" spans="1:9" ht="14.25">
      <c r="A3" s="55"/>
      <c r="B3" s="55"/>
      <c r="C3" s="161"/>
      <c r="D3" s="161"/>
      <c r="E3" s="161"/>
      <c r="F3" s="55"/>
      <c r="G3" s="55"/>
      <c r="H3" s="55"/>
      <c r="I3" s="55"/>
    </row>
    <row r="4" spans="1:9" ht="51">
      <c r="A4" s="56" t="s">
        <v>1</v>
      </c>
      <c r="B4" s="57" t="s">
        <v>2</v>
      </c>
      <c r="C4" s="166" t="s">
        <v>3</v>
      </c>
      <c r="D4" s="166" t="s">
        <v>4</v>
      </c>
      <c r="E4" s="166" t="s">
        <v>5</v>
      </c>
      <c r="F4" s="187" t="s">
        <v>6</v>
      </c>
      <c r="G4" s="188"/>
      <c r="H4" s="188"/>
      <c r="I4" s="189"/>
    </row>
    <row r="5" spans="1:9" ht="14.25">
      <c r="A5" s="56"/>
      <c r="B5" s="57"/>
      <c r="C5" s="166"/>
      <c r="D5" s="166"/>
      <c r="E5" s="166"/>
      <c r="F5" s="58" t="s">
        <v>7</v>
      </c>
      <c r="G5" s="58" t="s">
        <v>8</v>
      </c>
      <c r="H5" s="58" t="s">
        <v>9</v>
      </c>
      <c r="I5" s="58" t="s">
        <v>10</v>
      </c>
    </row>
    <row r="6" spans="1:9" s="2" customFormat="1" ht="12.75">
      <c r="A6" s="56">
        <v>1</v>
      </c>
      <c r="B6" s="57">
        <v>2</v>
      </c>
      <c r="C6" s="166">
        <v>3</v>
      </c>
      <c r="D6" s="166">
        <v>4</v>
      </c>
      <c r="E6" s="166">
        <v>6</v>
      </c>
      <c r="F6" s="57">
        <v>7</v>
      </c>
      <c r="G6" s="57">
        <v>8</v>
      </c>
      <c r="H6" s="57">
        <v>9</v>
      </c>
      <c r="I6" s="57">
        <v>10</v>
      </c>
    </row>
    <row r="7" spans="1:9" ht="25.5">
      <c r="A7" s="59" t="s">
        <v>122</v>
      </c>
      <c r="B7" s="69">
        <v>4000</v>
      </c>
      <c r="C7" s="155">
        <f>C8+C9+C10+C11+C12+C13</f>
        <v>2985</v>
      </c>
      <c r="D7" s="156">
        <v>3991</v>
      </c>
      <c r="E7" s="170">
        <f>E9</f>
        <v>1933.9</v>
      </c>
      <c r="F7" s="62" t="str">
        <f>F9</f>
        <v>-</v>
      </c>
      <c r="G7" s="70">
        <v>0</v>
      </c>
      <c r="H7" s="62" t="str">
        <f>H9</f>
        <v>-</v>
      </c>
      <c r="I7" s="62" t="str">
        <f>I9</f>
        <v>-</v>
      </c>
    </row>
    <row r="8" spans="1:9" ht="14.25">
      <c r="A8" s="60" t="s">
        <v>123</v>
      </c>
      <c r="B8" s="71" t="s">
        <v>124</v>
      </c>
      <c r="C8" s="157"/>
      <c r="D8" s="158" t="s">
        <v>189</v>
      </c>
      <c r="E8" s="158" t="s">
        <v>189</v>
      </c>
      <c r="F8" s="61" t="s">
        <v>189</v>
      </c>
      <c r="G8" s="61" t="s">
        <v>189</v>
      </c>
      <c r="H8" s="61" t="s">
        <v>189</v>
      </c>
      <c r="I8" s="61" t="s">
        <v>189</v>
      </c>
    </row>
    <row r="9" spans="1:9" ht="76.5">
      <c r="A9" s="60" t="s">
        <v>228</v>
      </c>
      <c r="B9" s="69">
        <v>4020</v>
      </c>
      <c r="C9" s="157">
        <v>2408</v>
      </c>
      <c r="D9" s="159">
        <v>3991</v>
      </c>
      <c r="E9" s="169">
        <f>621+1097+153.9+62</f>
        <v>1933.9</v>
      </c>
      <c r="F9" s="61" t="s">
        <v>189</v>
      </c>
      <c r="G9" s="63">
        <v>0</v>
      </c>
      <c r="H9" s="61" t="s">
        <v>189</v>
      </c>
      <c r="I9" s="61" t="s">
        <v>189</v>
      </c>
    </row>
    <row r="10" spans="1:9" ht="38.25">
      <c r="A10" s="60" t="s">
        <v>125</v>
      </c>
      <c r="B10" s="71">
        <v>4030</v>
      </c>
      <c r="C10" s="157">
        <v>295</v>
      </c>
      <c r="D10" s="158" t="s">
        <v>189</v>
      </c>
      <c r="E10" s="158" t="s">
        <v>189</v>
      </c>
      <c r="F10" s="61" t="s">
        <v>189</v>
      </c>
      <c r="G10" s="61" t="s">
        <v>189</v>
      </c>
      <c r="H10" s="61" t="s">
        <v>189</v>
      </c>
      <c r="I10" s="61" t="s">
        <v>189</v>
      </c>
    </row>
    <row r="11" spans="1:9" ht="25.5">
      <c r="A11" s="60" t="s">
        <v>126</v>
      </c>
      <c r="B11" s="69">
        <v>4040</v>
      </c>
      <c r="C11" s="157"/>
      <c r="D11" s="158" t="s">
        <v>189</v>
      </c>
      <c r="E11" s="158" t="s">
        <v>189</v>
      </c>
      <c r="F11" s="61" t="s">
        <v>189</v>
      </c>
      <c r="G11" s="61" t="s">
        <v>189</v>
      </c>
      <c r="H11" s="61" t="s">
        <v>189</v>
      </c>
      <c r="I11" s="61" t="s">
        <v>189</v>
      </c>
    </row>
    <row r="12" spans="1:9" ht="38.25">
      <c r="A12" s="60" t="s">
        <v>127</v>
      </c>
      <c r="B12" s="71">
        <v>4050</v>
      </c>
      <c r="C12" s="157">
        <v>282</v>
      </c>
      <c r="D12" s="158" t="s">
        <v>189</v>
      </c>
      <c r="E12" s="158" t="s">
        <v>189</v>
      </c>
      <c r="F12" s="61" t="s">
        <v>189</v>
      </c>
      <c r="G12" s="61" t="s">
        <v>189</v>
      </c>
      <c r="H12" s="61" t="s">
        <v>189</v>
      </c>
      <c r="I12" s="61" t="s">
        <v>189</v>
      </c>
    </row>
    <row r="13" spans="1:9" ht="14.25">
      <c r="A13" s="60" t="s">
        <v>128</v>
      </c>
      <c r="B13" s="72">
        <v>4060</v>
      </c>
      <c r="C13" s="157">
        <v>0</v>
      </c>
      <c r="D13" s="160" t="s">
        <v>189</v>
      </c>
      <c r="E13" s="158" t="s">
        <v>189</v>
      </c>
      <c r="F13" s="61" t="s">
        <v>189</v>
      </c>
      <c r="G13" s="61" t="s">
        <v>189</v>
      </c>
      <c r="H13" s="61" t="s">
        <v>189</v>
      </c>
      <c r="I13" s="61" t="s">
        <v>189</v>
      </c>
    </row>
    <row r="14" spans="1:9" ht="14.25">
      <c r="A14" s="44"/>
      <c r="B14" s="44"/>
      <c r="C14" s="82"/>
      <c r="D14" s="82"/>
      <c r="E14" s="77"/>
      <c r="F14" s="44"/>
      <c r="G14" s="44"/>
      <c r="H14" s="44"/>
      <c r="I14" s="44"/>
    </row>
    <row r="15" spans="1:9" ht="14.25">
      <c r="A15" s="44"/>
      <c r="B15" s="44"/>
      <c r="C15" s="77"/>
      <c r="D15" s="77"/>
      <c r="E15" s="77"/>
      <c r="F15" s="44"/>
      <c r="G15" s="44"/>
      <c r="H15" s="44"/>
      <c r="I15" s="44"/>
    </row>
    <row r="16" spans="1:9" ht="14.25">
      <c r="A16" s="44"/>
      <c r="B16" s="44"/>
      <c r="C16" s="77"/>
      <c r="D16" s="77"/>
      <c r="E16" s="77"/>
      <c r="F16" s="44"/>
      <c r="G16" s="44"/>
      <c r="H16" s="44"/>
      <c r="I16" s="44"/>
    </row>
    <row r="17" spans="1:9" ht="14.25">
      <c r="A17" s="245" t="s">
        <v>199</v>
      </c>
      <c r="B17" s="246"/>
      <c r="C17" s="204" t="s">
        <v>120</v>
      </c>
      <c r="D17" s="205"/>
      <c r="E17" s="205"/>
      <c r="F17" s="47"/>
      <c r="G17" s="207" t="s">
        <v>217</v>
      </c>
      <c r="H17" s="207"/>
      <c r="I17" s="207"/>
    </row>
    <row r="18" spans="1:9" ht="14.25">
      <c r="A18" s="66"/>
      <c r="B18" s="55"/>
      <c r="C18" s="185"/>
      <c r="D18" s="185"/>
      <c r="E18" s="185"/>
      <c r="F18" s="67"/>
      <c r="G18" s="186"/>
      <c r="H18" s="186"/>
      <c r="I18" s="186"/>
    </row>
    <row r="19" spans="1:9" ht="14.25">
      <c r="A19" s="44" t="s">
        <v>207</v>
      </c>
      <c r="B19" s="44"/>
      <c r="C19" s="204" t="s">
        <v>120</v>
      </c>
      <c r="D19" s="205"/>
      <c r="E19" s="205"/>
      <c r="F19" s="44"/>
      <c r="G19" s="203" t="s">
        <v>218</v>
      </c>
      <c r="H19" s="203"/>
      <c r="I19" s="203"/>
    </row>
    <row r="20" spans="1:9" ht="14.25">
      <c r="A20" s="50"/>
      <c r="B20" s="50"/>
      <c r="C20" s="153"/>
      <c r="D20" s="153"/>
      <c r="E20" s="153"/>
      <c r="F20" s="50"/>
      <c r="G20" s="50"/>
      <c r="H20" s="50"/>
      <c r="I20" s="50"/>
    </row>
    <row r="21" spans="1:9" ht="15">
      <c r="A21" s="45"/>
      <c r="B21" s="45"/>
      <c r="C21" s="167"/>
      <c r="D21" s="167"/>
      <c r="E21" s="167"/>
      <c r="F21" s="45"/>
      <c r="G21" s="45"/>
      <c r="H21" s="45"/>
      <c r="I21" s="45"/>
    </row>
  </sheetData>
  <sheetProtection/>
  <mergeCells count="10">
    <mergeCell ref="G19:I19"/>
    <mergeCell ref="C19:E19"/>
    <mergeCell ref="G1:I1"/>
    <mergeCell ref="C17:E17"/>
    <mergeCell ref="G17:I17"/>
    <mergeCell ref="C18:E18"/>
    <mergeCell ref="G18:I18"/>
    <mergeCell ref="F4:I4"/>
    <mergeCell ref="A2:I2"/>
    <mergeCell ref="A17:B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20" zoomScaleNormal="120" zoomScalePageLayoutView="0" workbookViewId="0" topLeftCell="B1">
      <selection activeCell="E4" sqref="E4:AQ498"/>
    </sheetView>
  </sheetViews>
  <sheetFormatPr defaultColWidth="9.140625" defaultRowHeight="12.75"/>
  <cols>
    <col min="1" max="1" width="38.28125" style="0" customWidth="1"/>
    <col min="2" max="2" width="11.421875" style="79" customWidth="1"/>
    <col min="3" max="4" width="15.7109375" style="79" customWidth="1"/>
    <col min="6" max="6" width="11.8515625" style="0" bestFit="1" customWidth="1"/>
    <col min="7" max="7" width="10.57421875" style="0" bestFit="1" customWidth="1"/>
    <col min="8" max="9" width="11.7109375" style="0" bestFit="1" customWidth="1"/>
    <col min="11" max="11" width="11.7109375" style="0" bestFit="1" customWidth="1"/>
    <col min="12" max="12" width="10.57421875" style="0" bestFit="1" customWidth="1"/>
    <col min="13" max="13" width="9.57421875" style="0" bestFit="1" customWidth="1"/>
  </cols>
  <sheetData>
    <row r="1" spans="1:4" ht="12.75">
      <c r="A1" s="133"/>
      <c r="B1" s="134"/>
      <c r="C1" s="135"/>
      <c r="D1" s="134" t="s">
        <v>166</v>
      </c>
    </row>
    <row r="2" spans="1:4" ht="12.75">
      <c r="A2" s="247" t="s">
        <v>225</v>
      </c>
      <c r="B2" s="247"/>
      <c r="C2" s="247"/>
      <c r="D2" s="247"/>
    </row>
    <row r="3" spans="1:4" ht="12.75">
      <c r="A3" s="136"/>
      <c r="B3" s="137"/>
      <c r="C3" s="137"/>
      <c r="D3" s="137"/>
    </row>
    <row r="4" spans="1:4" ht="68.25" customHeight="1">
      <c r="A4" s="138" t="s">
        <v>1</v>
      </c>
      <c r="B4" s="87" t="s">
        <v>3</v>
      </c>
      <c r="C4" s="87" t="s">
        <v>129</v>
      </c>
      <c r="D4" s="87" t="s">
        <v>130</v>
      </c>
    </row>
    <row r="5" spans="1:4" ht="12.75">
      <c r="A5" s="138">
        <v>1</v>
      </c>
      <c r="B5" s="87">
        <v>2</v>
      </c>
      <c r="C5" s="87">
        <v>3</v>
      </c>
      <c r="D5" s="87">
        <v>5</v>
      </c>
    </row>
    <row r="6" spans="1:6" ht="75" customHeight="1">
      <c r="A6" s="139" t="s">
        <v>226</v>
      </c>
      <c r="B6" s="140">
        <f>B7+B8+B9</f>
        <v>170</v>
      </c>
      <c r="C6" s="140">
        <f>C7+C8+C9</f>
        <v>180</v>
      </c>
      <c r="D6" s="140">
        <f>D7+D8+D9</f>
        <v>179</v>
      </c>
      <c r="F6" s="75"/>
    </row>
    <row r="7" spans="1:6" ht="15" customHeight="1">
      <c r="A7" s="141" t="s">
        <v>131</v>
      </c>
      <c r="B7" s="142">
        <v>1</v>
      </c>
      <c r="C7" s="142">
        <v>1</v>
      </c>
      <c r="D7" s="142">
        <v>1</v>
      </c>
      <c r="F7" s="75"/>
    </row>
    <row r="8" spans="1:6" ht="30" customHeight="1">
      <c r="A8" s="141" t="s">
        <v>132</v>
      </c>
      <c r="B8" s="142">
        <v>14</v>
      </c>
      <c r="C8" s="142">
        <v>14</v>
      </c>
      <c r="D8" s="142">
        <v>14</v>
      </c>
      <c r="F8" s="75"/>
    </row>
    <row r="9" spans="1:6" ht="15" customHeight="1">
      <c r="A9" s="143" t="s">
        <v>133</v>
      </c>
      <c r="B9" s="142">
        <v>155</v>
      </c>
      <c r="C9" s="142">
        <v>165</v>
      </c>
      <c r="D9" s="142">
        <v>164</v>
      </c>
      <c r="F9" s="75"/>
    </row>
    <row r="10" spans="1:9" ht="29.25" customHeight="1">
      <c r="A10" s="144" t="s">
        <v>134</v>
      </c>
      <c r="B10" s="140">
        <f>B11+B12+B13</f>
        <v>15152</v>
      </c>
      <c r="C10" s="140">
        <f>C11+C12+C13</f>
        <v>17753</v>
      </c>
      <c r="D10" s="140">
        <f>D11+D12+D13</f>
        <v>21247</v>
      </c>
      <c r="E10" s="49"/>
      <c r="F10" s="75"/>
      <c r="H10" s="75"/>
      <c r="I10" s="75"/>
    </row>
    <row r="11" spans="1:11" ht="15" customHeight="1">
      <c r="A11" s="143" t="s">
        <v>131</v>
      </c>
      <c r="B11" s="142">
        <v>446</v>
      </c>
      <c r="C11" s="145">
        <v>327</v>
      </c>
      <c r="D11" s="145">
        <v>330</v>
      </c>
      <c r="F11" s="75"/>
      <c r="J11" s="75"/>
      <c r="K11" s="75"/>
    </row>
    <row r="12" spans="1:6" ht="30" customHeight="1">
      <c r="A12" s="143" t="s">
        <v>132</v>
      </c>
      <c r="B12" s="142">
        <v>2002</v>
      </c>
      <c r="C12" s="145">
        <v>2051</v>
      </c>
      <c r="D12" s="145">
        <f>2391+70+20</f>
        <v>2481</v>
      </c>
      <c r="F12" s="75"/>
    </row>
    <row r="13" spans="1:6" ht="15" customHeight="1">
      <c r="A13" s="143" t="s">
        <v>133</v>
      </c>
      <c r="B13" s="142">
        <v>12704</v>
      </c>
      <c r="C13" s="145">
        <f>14776+312+287</f>
        <v>15375</v>
      </c>
      <c r="D13" s="145">
        <f>17933+380+123</f>
        <v>18436</v>
      </c>
      <c r="F13" s="75"/>
    </row>
    <row r="14" spans="1:8" ht="45" customHeight="1">
      <c r="A14" s="144" t="s">
        <v>164</v>
      </c>
      <c r="B14" s="140">
        <f>B10/B6/12*1000</f>
        <v>7427.450980392156</v>
      </c>
      <c r="C14" s="146">
        <f>C10/C6/12*1000</f>
        <v>8218.981481481482</v>
      </c>
      <c r="D14" s="146">
        <f>D10/D6/12*1000</f>
        <v>9891.527001862198</v>
      </c>
      <c r="F14" s="75"/>
      <c r="H14" s="75"/>
    </row>
    <row r="15" spans="1:13" ht="15" customHeight="1">
      <c r="A15" s="143" t="s">
        <v>131</v>
      </c>
      <c r="B15" s="147">
        <v>37167</v>
      </c>
      <c r="C15" s="145">
        <f aca="true" t="shared" si="0" ref="C15:D17">C11/C7/12*1000</f>
        <v>27250</v>
      </c>
      <c r="D15" s="145">
        <v>27535</v>
      </c>
      <c r="F15" s="75"/>
      <c r="H15" s="132"/>
      <c r="K15" s="132"/>
      <c r="L15" s="132"/>
      <c r="M15" s="132"/>
    </row>
    <row r="16" spans="1:9" ht="30" customHeight="1">
      <c r="A16" s="143" t="s">
        <v>132</v>
      </c>
      <c r="B16" s="147">
        <v>11917</v>
      </c>
      <c r="C16" s="145">
        <f t="shared" si="0"/>
        <v>12208.333333333334</v>
      </c>
      <c r="D16" s="142">
        <f t="shared" si="0"/>
        <v>14767.857142857145</v>
      </c>
      <c r="F16" s="75"/>
      <c r="H16" s="132"/>
      <c r="I16" s="132"/>
    </row>
    <row r="17" spans="1:8" ht="15" customHeight="1">
      <c r="A17" s="143" t="s">
        <v>133</v>
      </c>
      <c r="B17" s="147">
        <v>6830</v>
      </c>
      <c r="C17" s="145">
        <f t="shared" si="0"/>
        <v>7765.151515151516</v>
      </c>
      <c r="D17" s="142">
        <f t="shared" si="0"/>
        <v>9367.88617886179</v>
      </c>
      <c r="F17" s="75"/>
      <c r="H17" s="49"/>
    </row>
    <row r="18" spans="1:9" ht="30" customHeight="1">
      <c r="A18" s="144" t="s">
        <v>135</v>
      </c>
      <c r="B18" s="146">
        <f>B19+B20+B21</f>
        <v>18472.9</v>
      </c>
      <c r="C18" s="140">
        <f>C19+C20+C21</f>
        <v>21658</v>
      </c>
      <c r="D18" s="140">
        <f>D19+D20+D21</f>
        <v>25920.82</v>
      </c>
      <c r="F18" s="171"/>
      <c r="H18" s="75"/>
      <c r="I18" s="75"/>
    </row>
    <row r="19" spans="1:11" ht="15" customHeight="1">
      <c r="A19" s="143" t="s">
        <v>131</v>
      </c>
      <c r="B19" s="145">
        <v>544.1</v>
      </c>
      <c r="C19" s="145">
        <v>395</v>
      </c>
      <c r="D19" s="142">
        <v>403</v>
      </c>
      <c r="F19" s="75"/>
      <c r="K19" s="132"/>
    </row>
    <row r="20" spans="1:6" ht="30" customHeight="1">
      <c r="A20" s="143" t="s">
        <v>132</v>
      </c>
      <c r="B20" s="145">
        <v>2442.4</v>
      </c>
      <c r="C20" s="145">
        <v>2502</v>
      </c>
      <c r="D20" s="142">
        <f>D12*1.22</f>
        <v>3026.8199999999997</v>
      </c>
      <c r="F20" s="75"/>
    </row>
    <row r="21" spans="1:7" ht="15" customHeight="1">
      <c r="A21" s="143" t="s">
        <v>133</v>
      </c>
      <c r="B21" s="148">
        <v>15486.4</v>
      </c>
      <c r="C21" s="145">
        <f>18027+312+68+354</f>
        <v>18761</v>
      </c>
      <c r="D21" s="142">
        <f>22348+143</f>
        <v>22491</v>
      </c>
      <c r="F21" s="75"/>
      <c r="G21" s="132"/>
    </row>
    <row r="22" spans="1:8" ht="45" customHeight="1">
      <c r="A22" s="144" t="s">
        <v>136</v>
      </c>
      <c r="B22" s="146">
        <f>B18/B6/12*1000</f>
        <v>9055.343137254904</v>
      </c>
      <c r="C22" s="146">
        <f>C18/C6/12*1000</f>
        <v>10026.851851851852</v>
      </c>
      <c r="D22" s="146">
        <f>D18/D6/12*1000</f>
        <v>12067.420856610801</v>
      </c>
      <c r="F22" s="75"/>
      <c r="G22" s="75"/>
      <c r="H22" s="49"/>
    </row>
    <row r="23" spans="1:9" ht="15" customHeight="1">
      <c r="A23" s="143" t="s">
        <v>131</v>
      </c>
      <c r="B23" s="142">
        <v>45343</v>
      </c>
      <c r="C23" s="145">
        <f aca="true" t="shared" si="1" ref="C23:D25">C19/C7/12*1000</f>
        <v>32916.666666666664</v>
      </c>
      <c r="D23" s="145">
        <f t="shared" si="1"/>
        <v>33583.333333333336</v>
      </c>
      <c r="F23" s="75"/>
      <c r="H23" s="75"/>
      <c r="I23" s="75"/>
    </row>
    <row r="24" spans="1:6" ht="30" customHeight="1">
      <c r="A24" s="141" t="s">
        <v>132</v>
      </c>
      <c r="B24" s="142">
        <v>14538</v>
      </c>
      <c r="C24" s="145">
        <f t="shared" si="1"/>
        <v>14892.857142857145</v>
      </c>
      <c r="D24" s="145">
        <f t="shared" si="1"/>
        <v>18016.785714285714</v>
      </c>
      <c r="F24" s="75"/>
    </row>
    <row r="25" spans="1:6" ht="15" customHeight="1">
      <c r="A25" s="141" t="s">
        <v>133</v>
      </c>
      <c r="B25" s="142">
        <v>8326</v>
      </c>
      <c r="C25" s="145">
        <f t="shared" si="1"/>
        <v>9475.252525252525</v>
      </c>
      <c r="D25" s="145">
        <f t="shared" si="1"/>
        <v>11428.353658536585</v>
      </c>
      <c r="F25" s="75"/>
    </row>
    <row r="26" spans="1:4" ht="12.75">
      <c r="A26" s="122"/>
      <c r="B26" s="149"/>
      <c r="C26" s="135"/>
      <c r="D26" s="135"/>
    </row>
    <row r="27" spans="1:5" ht="15" customHeight="1">
      <c r="A27" s="150" t="s">
        <v>199</v>
      </c>
      <c r="B27" s="151" t="s">
        <v>120</v>
      </c>
      <c r="C27" s="190" t="s">
        <v>219</v>
      </c>
      <c r="D27" s="190"/>
      <c r="E27" s="6"/>
    </row>
    <row r="28" spans="1:5" ht="15">
      <c r="A28" s="152"/>
      <c r="B28" s="134"/>
      <c r="C28" s="191"/>
      <c r="D28" s="191"/>
      <c r="E28" s="7"/>
    </row>
    <row r="29" spans="1:4" ht="12.75">
      <c r="A29" s="50"/>
      <c r="B29" s="153"/>
      <c r="C29" s="153"/>
      <c r="D29" s="153"/>
    </row>
    <row r="30" spans="1:4" ht="12.75">
      <c r="A30" s="50" t="s">
        <v>207</v>
      </c>
      <c r="B30" s="154"/>
      <c r="C30" s="248" t="s">
        <v>218</v>
      </c>
      <c r="D30" s="248"/>
    </row>
    <row r="31" spans="1:4" ht="15.75">
      <c r="A31" s="35"/>
      <c r="B31" s="78"/>
      <c r="C31" s="78"/>
      <c r="D31" s="78"/>
    </row>
    <row r="32" spans="1:4" ht="15.75">
      <c r="A32" s="35"/>
      <c r="B32" s="78"/>
      <c r="C32" s="78"/>
      <c r="D32" s="78"/>
    </row>
    <row r="33" spans="1:4" ht="15.75">
      <c r="A33" s="35"/>
      <c r="B33" s="78"/>
      <c r="C33" s="78"/>
      <c r="D33" s="78"/>
    </row>
    <row r="34" spans="1:4" ht="15.75">
      <c r="A34" s="35"/>
      <c r="B34" s="78"/>
      <c r="C34" s="78"/>
      <c r="D34" s="78"/>
    </row>
    <row r="35" spans="1:4" ht="15.75">
      <c r="A35" s="35"/>
      <c r="B35" s="78"/>
      <c r="C35" s="78"/>
      <c r="D35" s="78"/>
    </row>
    <row r="36" spans="1:4" ht="15.75">
      <c r="A36" s="35"/>
      <c r="B36" s="78"/>
      <c r="C36" s="78"/>
      <c r="D36" s="78"/>
    </row>
    <row r="37" spans="1:4" ht="15.75">
      <c r="A37" s="35"/>
      <c r="B37" s="78"/>
      <c r="C37" s="78"/>
      <c r="D37" s="78"/>
    </row>
    <row r="38" spans="1:4" ht="15.75">
      <c r="A38" s="35"/>
      <c r="B38" s="78"/>
      <c r="C38" s="78"/>
      <c r="D38" s="78"/>
    </row>
    <row r="39" spans="1:4" ht="15.75">
      <c r="A39" s="35"/>
      <c r="B39" s="78"/>
      <c r="C39" s="78"/>
      <c r="D39" s="78"/>
    </row>
    <row r="40" spans="1:4" ht="15.75">
      <c r="A40" s="35"/>
      <c r="B40" s="78"/>
      <c r="C40" s="78"/>
      <c r="D40" s="78"/>
    </row>
  </sheetData>
  <sheetProtection/>
  <mergeCells count="4">
    <mergeCell ref="C27:D27"/>
    <mergeCell ref="C28:D28"/>
    <mergeCell ref="A2:D2"/>
    <mergeCell ref="C30:D3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2020-12-14T14:28:47Z</cp:lastPrinted>
  <dcterms:created xsi:type="dcterms:W3CDTF">1996-10-08T23:32:33Z</dcterms:created>
  <dcterms:modified xsi:type="dcterms:W3CDTF">2020-12-14T14:29:50Z</dcterms:modified>
  <cp:category/>
  <cp:version/>
  <cp:contentType/>
  <cp:contentStatus/>
</cp:coreProperties>
</file>